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1 Bridger Precast\Products\Manhole\"/>
    </mc:Choice>
  </mc:AlternateContent>
  <xr:revisionPtr revIDLastSave="0" documentId="13_ncr:1_{D552CC9D-5690-4B90-8F71-341B9B7B41CF}" xr6:coauthVersionLast="47" xr6:coauthVersionMax="47" xr10:uidLastSave="{00000000-0000-0000-0000-000000000000}"/>
  <bookViews>
    <workbookView xWindow="-120" yWindow="-120" windowWidth="29040" windowHeight="15720" activeTab="2" xr2:uid="{86E8DEE6-5E2D-402A-8C63-69D9F6A85403}"/>
  </bookViews>
  <sheets>
    <sheet name="Rim to Invert Calc" sheetId="1" r:id="rId1"/>
    <sheet name="Column Width Calc" sheetId="4" r:id="rId2"/>
    <sheet name="Manhole Dimensions" sheetId="3" r:id="rId3"/>
    <sheet name="RIData" sheetId="2" r:id="rId4"/>
    <sheet name="CWData" sheetId="5" r:id="rId5"/>
  </sheets>
  <definedNames>
    <definedName name="Casting">RIData!$B$5:$C$7</definedName>
    <definedName name="Seal">RIData!#REF!</definedName>
    <definedName name="Structure">RIData!$J$4:$O$12</definedName>
    <definedName name="TestT">RIData!$A$40:$D$43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2" i="5" l="1"/>
  <c r="D72" i="5" s="1"/>
  <c r="I72" i="5" s="1"/>
  <c r="H72" i="5"/>
  <c r="C77" i="5"/>
  <c r="D77" i="5" s="1"/>
  <c r="I77" i="5" s="1"/>
  <c r="H77" i="5"/>
  <c r="C82" i="5"/>
  <c r="D82" i="5" s="1"/>
  <c r="C87" i="5"/>
  <c r="D87" i="5" s="1"/>
  <c r="R47" i="5"/>
  <c r="S47" i="5" s="1"/>
  <c r="T47" i="5" s="1"/>
  <c r="R49" i="5"/>
  <c r="S49" i="5" s="1"/>
  <c r="T49" i="5" s="1"/>
  <c r="R52" i="5"/>
  <c r="S52" i="5" s="1"/>
  <c r="T52" i="5" s="1"/>
  <c r="Q6" i="5"/>
  <c r="R6" i="5" s="1"/>
  <c r="S6" i="5" s="1"/>
  <c r="T6" i="5" s="1"/>
  <c r="Q7" i="5"/>
  <c r="R7" i="5" s="1"/>
  <c r="S7" i="5" s="1"/>
  <c r="T7" i="5" s="1"/>
  <c r="Q8" i="5"/>
  <c r="R8" i="5" s="1"/>
  <c r="S8" i="5" s="1"/>
  <c r="T8" i="5" s="1"/>
  <c r="Q9" i="5"/>
  <c r="R9" i="5" s="1"/>
  <c r="S9" i="5" s="1"/>
  <c r="T9" i="5" s="1"/>
  <c r="Q10" i="5"/>
  <c r="R10" i="5" s="1"/>
  <c r="S10" i="5" s="1"/>
  <c r="T10" i="5" s="1"/>
  <c r="Q11" i="5"/>
  <c r="R11" i="5" s="1"/>
  <c r="S11" i="5" s="1"/>
  <c r="T11" i="5" s="1"/>
  <c r="Q12" i="5"/>
  <c r="R12" i="5" s="1"/>
  <c r="S12" i="5" s="1"/>
  <c r="T12" i="5" s="1"/>
  <c r="Q13" i="5"/>
  <c r="R13" i="5" s="1"/>
  <c r="S13" i="5" s="1"/>
  <c r="T13" i="5" s="1"/>
  <c r="Q14" i="5"/>
  <c r="R14" i="5" s="1"/>
  <c r="S14" i="5" s="1"/>
  <c r="T14" i="5" s="1"/>
  <c r="Q15" i="5"/>
  <c r="R15" i="5" s="1"/>
  <c r="S15" i="5" s="1"/>
  <c r="T15" i="5" s="1"/>
  <c r="Q16" i="5"/>
  <c r="R16" i="5" s="1"/>
  <c r="S16" i="5" s="1"/>
  <c r="T16" i="5" s="1"/>
  <c r="Q17" i="5"/>
  <c r="R17" i="5" s="1"/>
  <c r="S17" i="5" s="1"/>
  <c r="T17" i="5" s="1"/>
  <c r="Q18" i="5"/>
  <c r="R18" i="5" s="1"/>
  <c r="S18" i="5" s="1"/>
  <c r="T18" i="5" s="1"/>
  <c r="Q19" i="5"/>
  <c r="R19" i="5" s="1"/>
  <c r="S19" i="5" s="1"/>
  <c r="T19" i="5" s="1"/>
  <c r="Q20" i="5"/>
  <c r="R20" i="5" s="1"/>
  <c r="S20" i="5" s="1"/>
  <c r="T20" i="5" s="1"/>
  <c r="Q21" i="5"/>
  <c r="R21" i="5" s="1"/>
  <c r="S21" i="5" s="1"/>
  <c r="T21" i="5" s="1"/>
  <c r="Q22" i="5"/>
  <c r="R22" i="5" s="1"/>
  <c r="S22" i="5" s="1"/>
  <c r="T22" i="5" s="1"/>
  <c r="Q23" i="5"/>
  <c r="R23" i="5" s="1"/>
  <c r="S23" i="5" s="1"/>
  <c r="T23" i="5" s="1"/>
  <c r="Q24" i="5"/>
  <c r="R24" i="5" s="1"/>
  <c r="S24" i="5" s="1"/>
  <c r="T24" i="5" s="1"/>
  <c r="Q25" i="5"/>
  <c r="R25" i="5" s="1"/>
  <c r="S25" i="5" s="1"/>
  <c r="T25" i="5" s="1"/>
  <c r="Q26" i="5"/>
  <c r="R26" i="5" s="1"/>
  <c r="S26" i="5" s="1"/>
  <c r="T26" i="5" s="1"/>
  <c r="Q27" i="5"/>
  <c r="R27" i="5" s="1"/>
  <c r="S27" i="5" s="1"/>
  <c r="T27" i="5" s="1"/>
  <c r="Q28" i="5"/>
  <c r="R28" i="5" s="1"/>
  <c r="S28" i="5" s="1"/>
  <c r="T28" i="5" s="1"/>
  <c r="Q29" i="5"/>
  <c r="R29" i="5" s="1"/>
  <c r="S29" i="5" s="1"/>
  <c r="T29" i="5" s="1"/>
  <c r="Q30" i="5"/>
  <c r="R30" i="5" s="1"/>
  <c r="S30" i="5" s="1"/>
  <c r="T30" i="5" s="1"/>
  <c r="Q31" i="5"/>
  <c r="R31" i="5" s="1"/>
  <c r="S31" i="5" s="1"/>
  <c r="T31" i="5" s="1"/>
  <c r="Q32" i="5"/>
  <c r="R32" i="5" s="1"/>
  <c r="S32" i="5" s="1"/>
  <c r="T32" i="5" s="1"/>
  <c r="Q33" i="5"/>
  <c r="R33" i="5" s="1"/>
  <c r="S33" i="5" s="1"/>
  <c r="T33" i="5" s="1"/>
  <c r="Q34" i="5"/>
  <c r="R34" i="5" s="1"/>
  <c r="S34" i="5" s="1"/>
  <c r="T34" i="5" s="1"/>
  <c r="Q35" i="5"/>
  <c r="R35" i="5" s="1"/>
  <c r="S35" i="5" s="1"/>
  <c r="T35" i="5" s="1"/>
  <c r="Q36" i="5"/>
  <c r="R36" i="5" s="1"/>
  <c r="S36" i="5" s="1"/>
  <c r="T36" i="5" s="1"/>
  <c r="Q37" i="5"/>
  <c r="R37" i="5" s="1"/>
  <c r="S37" i="5" s="1"/>
  <c r="T37" i="5" s="1"/>
  <c r="Q38" i="5"/>
  <c r="R38" i="5" s="1"/>
  <c r="S38" i="5" s="1"/>
  <c r="T38" i="5" s="1"/>
  <c r="Q39" i="5"/>
  <c r="R39" i="5" s="1"/>
  <c r="S39" i="5" s="1"/>
  <c r="T39" i="5" s="1"/>
  <c r="Q40" i="5"/>
  <c r="R40" i="5" s="1"/>
  <c r="S40" i="5" s="1"/>
  <c r="T40" i="5" s="1"/>
  <c r="Q41" i="5"/>
  <c r="R41" i="5" s="1"/>
  <c r="S41" i="5" s="1"/>
  <c r="T41" i="5" s="1"/>
  <c r="Q42" i="5"/>
  <c r="R42" i="5" s="1"/>
  <c r="S42" i="5" s="1"/>
  <c r="T42" i="5" s="1"/>
  <c r="Q43" i="5"/>
  <c r="R43" i="5" s="1"/>
  <c r="S43" i="5" s="1"/>
  <c r="T43" i="5" s="1"/>
  <c r="Q44" i="5"/>
  <c r="R44" i="5" s="1"/>
  <c r="S44" i="5" s="1"/>
  <c r="T44" i="5" s="1"/>
  <c r="Q45" i="5"/>
  <c r="R45" i="5" s="1"/>
  <c r="S45" i="5" s="1"/>
  <c r="T45" i="5" s="1"/>
  <c r="Q46" i="5"/>
  <c r="R46" i="5" s="1"/>
  <c r="S46" i="5" s="1"/>
  <c r="T46" i="5" s="1"/>
  <c r="Q47" i="5"/>
  <c r="Q48" i="5"/>
  <c r="R48" i="5" s="1"/>
  <c r="S48" i="5" s="1"/>
  <c r="T48" i="5" s="1"/>
  <c r="Q49" i="5"/>
  <c r="Q50" i="5"/>
  <c r="R50" i="5" s="1"/>
  <c r="S50" i="5" s="1"/>
  <c r="T50" i="5" s="1"/>
  <c r="Q51" i="5"/>
  <c r="R51" i="5" s="1"/>
  <c r="S51" i="5" s="1"/>
  <c r="T51" i="5" s="1"/>
  <c r="Q52" i="5"/>
  <c r="Q53" i="5"/>
  <c r="R53" i="5" s="1"/>
  <c r="S53" i="5" s="1"/>
  <c r="T53" i="5" s="1"/>
  <c r="Q54" i="5"/>
  <c r="R54" i="5" s="1"/>
  <c r="S54" i="5" s="1"/>
  <c r="T54" i="5" s="1"/>
  <c r="Q55" i="5"/>
  <c r="R55" i="5" s="1"/>
  <c r="S55" i="5" s="1"/>
  <c r="T55" i="5" s="1"/>
  <c r="Q56" i="5"/>
  <c r="R56" i="5" s="1"/>
  <c r="S56" i="5" s="1"/>
  <c r="T56" i="5" s="1"/>
  <c r="Q57" i="5"/>
  <c r="R57" i="5" s="1"/>
  <c r="S57" i="5" s="1"/>
  <c r="T57" i="5" s="1"/>
  <c r="Q58" i="5"/>
  <c r="R58" i="5" s="1"/>
  <c r="S58" i="5" s="1"/>
  <c r="T58" i="5" s="1"/>
  <c r="Q59" i="5"/>
  <c r="R59" i="5" s="1"/>
  <c r="S59" i="5" s="1"/>
  <c r="T59" i="5" s="1"/>
  <c r="Q60" i="5"/>
  <c r="R60" i="5" s="1"/>
  <c r="S60" i="5" s="1"/>
  <c r="T60" i="5" s="1"/>
  <c r="Q61" i="5"/>
  <c r="R61" i="5" s="1"/>
  <c r="S61" i="5" s="1"/>
  <c r="T61" i="5" s="1"/>
  <c r="Q5" i="5"/>
  <c r="R5" i="5" s="1"/>
  <c r="S5" i="5" s="1"/>
  <c r="T5" i="5" s="1"/>
  <c r="L7" i="2"/>
  <c r="M7" i="2" s="1"/>
  <c r="L8" i="2"/>
  <c r="M8" i="2" s="1"/>
  <c r="D69" i="5" s="1"/>
  <c r="L9" i="2"/>
  <c r="M9" i="2" s="1"/>
  <c r="L10" i="2"/>
  <c r="M10" i="2" s="1"/>
  <c r="L11" i="2"/>
  <c r="M11" i="2" s="1"/>
  <c r="L6" i="2"/>
  <c r="M6" i="2" s="1"/>
  <c r="S4" i="2"/>
  <c r="S5" i="2"/>
  <c r="S6" i="2"/>
  <c r="S7" i="2"/>
  <c r="S8" i="2"/>
  <c r="S10" i="2"/>
  <c r="S11" i="2"/>
  <c r="V2" i="2"/>
  <c r="L20" i="2"/>
  <c r="M20" i="2"/>
  <c r="N20" i="2"/>
  <c r="P20" i="2"/>
  <c r="E72" i="5" l="1" a="1"/>
  <c r="E72" i="5" s="1"/>
  <c r="E77" i="5" a="1"/>
  <c r="E77" i="5" s="1"/>
  <c r="S12" i="2" a="1"/>
  <c r="S12" i="2" s="1"/>
  <c r="S13" i="2" a="1"/>
  <c r="S13" i="2" s="1"/>
  <c r="B34" i="4" l="1"/>
  <c r="U5" i="2"/>
  <c r="B18" i="1"/>
  <c r="B19"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<sst xmlns="http://schemas.openxmlformats.org/spreadsheetml/2006/main" count="354" uniqueCount="165">
  <si>
    <t>Castings</t>
  </si>
  <si>
    <t>Height</t>
  </si>
  <si>
    <t>Curb Inlet</t>
  </si>
  <si>
    <t>4" Frame</t>
  </si>
  <si>
    <t>7" Frame</t>
  </si>
  <si>
    <t>Structure</t>
  </si>
  <si>
    <t>2' X 3' Inlet</t>
  </si>
  <si>
    <t>2' x 6' Inlet</t>
  </si>
  <si>
    <t>30"</t>
  </si>
  <si>
    <t>30" Dia</t>
  </si>
  <si>
    <t>36" Dia</t>
  </si>
  <si>
    <t>48" Dia</t>
  </si>
  <si>
    <t>60" Dia</t>
  </si>
  <si>
    <t>72" Dia</t>
  </si>
  <si>
    <t>96" Dia</t>
  </si>
  <si>
    <t>120" Dia</t>
  </si>
  <si>
    <t>Flat Top Thickness</t>
  </si>
  <si>
    <t>DIA  "A"</t>
  </si>
  <si>
    <t>"B"</t>
  </si>
  <si>
    <t>"C"</t>
  </si>
  <si>
    <t>"D"</t>
  </si>
  <si>
    <t>"E"</t>
  </si>
  <si>
    <t>"F"</t>
  </si>
  <si>
    <t>24"</t>
  </si>
  <si>
    <t>3"</t>
  </si>
  <si>
    <t>N/A</t>
  </si>
  <si>
    <t>6"</t>
  </si>
  <si>
    <t>3.5"</t>
  </si>
  <si>
    <t>37"</t>
  </si>
  <si>
    <t>36"</t>
  </si>
  <si>
    <t>4"</t>
  </si>
  <si>
    <t>44"</t>
  </si>
  <si>
    <t>48"</t>
  </si>
  <si>
    <t>5"</t>
  </si>
  <si>
    <t>58"</t>
  </si>
  <si>
    <t>70"</t>
  </si>
  <si>
    <t>60"</t>
  </si>
  <si>
    <t>72"</t>
  </si>
  <si>
    <t>84"</t>
  </si>
  <si>
    <t>8"</t>
  </si>
  <si>
    <t>7"</t>
  </si>
  <si>
    <t>86"</t>
  </si>
  <si>
    <t>CUSTOM</t>
  </si>
  <si>
    <t>96"</t>
  </si>
  <si>
    <t>x</t>
  </si>
  <si>
    <t>Grade Ring</t>
  </si>
  <si>
    <t>144" Dia</t>
  </si>
  <si>
    <t>Grade Ring Minimum</t>
  </si>
  <si>
    <t>Structure Type</t>
  </si>
  <si>
    <t>Pipe OD</t>
  </si>
  <si>
    <t>Clear Cover Concrete</t>
  </si>
  <si>
    <t>Pipe OD (Inches)</t>
  </si>
  <si>
    <t>16"</t>
  </si>
  <si>
    <t>12"</t>
  </si>
  <si>
    <t>15"</t>
  </si>
  <si>
    <t>18"</t>
  </si>
  <si>
    <t>21"</t>
  </si>
  <si>
    <t>27"</t>
  </si>
  <si>
    <t>32"</t>
  </si>
  <si>
    <t>42"</t>
  </si>
  <si>
    <t>52"</t>
  </si>
  <si>
    <t>SDR</t>
  </si>
  <si>
    <t>RCPA</t>
  </si>
  <si>
    <t>A2000</t>
  </si>
  <si>
    <t>HDPE</t>
  </si>
  <si>
    <t>Pipe ID</t>
  </si>
  <si>
    <t>10"</t>
  </si>
  <si>
    <t>RCP B Wall</t>
  </si>
  <si>
    <t>RCP C Wall</t>
  </si>
  <si>
    <t>54"</t>
  </si>
  <si>
    <t>Pipe Type</t>
  </si>
  <si>
    <t>Pipe Dia</t>
  </si>
  <si>
    <t>KO Size</t>
  </si>
  <si>
    <t>0"</t>
  </si>
  <si>
    <t>2"</t>
  </si>
  <si>
    <t>Minimal Rim to Invert Calculator</t>
  </si>
  <si>
    <t>Inputs:</t>
  </si>
  <si>
    <t>Notes:</t>
  </si>
  <si>
    <t xml:space="preserve">This calculator provides the minimal rim to invert needed to have a Press Seal gasket for a pipe to manhole connection. You may need to complete the calculator for each of the pipe penetrations. </t>
  </si>
  <si>
    <t>Minimal Rim to Invert Needed '</t>
  </si>
  <si>
    <t>Cast Iron Height</t>
  </si>
  <si>
    <t xml:space="preserve">Pipe ID </t>
  </si>
  <si>
    <t>11"</t>
  </si>
  <si>
    <t>13"</t>
  </si>
  <si>
    <t>14"</t>
  </si>
  <si>
    <t>17"</t>
  </si>
  <si>
    <t>19"</t>
  </si>
  <si>
    <t>20"</t>
  </si>
  <si>
    <t>22"</t>
  </si>
  <si>
    <t>23"</t>
  </si>
  <si>
    <t>25"</t>
  </si>
  <si>
    <t>26"</t>
  </si>
  <si>
    <t>28"</t>
  </si>
  <si>
    <t>29"</t>
  </si>
  <si>
    <t>31"</t>
  </si>
  <si>
    <t>33"</t>
  </si>
  <si>
    <t>34"</t>
  </si>
  <si>
    <t>35"</t>
  </si>
  <si>
    <t>38"</t>
  </si>
  <si>
    <t>39"</t>
  </si>
  <si>
    <t>40"</t>
  </si>
  <si>
    <t>41"</t>
  </si>
  <si>
    <t>43"</t>
  </si>
  <si>
    <t>45"</t>
  </si>
  <si>
    <t>46"</t>
  </si>
  <si>
    <t>47"</t>
  </si>
  <si>
    <t>49"</t>
  </si>
  <si>
    <t>50"</t>
  </si>
  <si>
    <t>51"</t>
  </si>
  <si>
    <t>53"</t>
  </si>
  <si>
    <t>55"</t>
  </si>
  <si>
    <t>56"</t>
  </si>
  <si>
    <t>57"</t>
  </si>
  <si>
    <t>59"</t>
  </si>
  <si>
    <t>61"</t>
  </si>
  <si>
    <t xml:space="preserve">Gasket or KO Size </t>
  </si>
  <si>
    <t>Pipe 3</t>
  </si>
  <si>
    <t>Pipe 4</t>
  </si>
  <si>
    <t>Ko Size</t>
  </si>
  <si>
    <t>Circ '</t>
  </si>
  <si>
    <t>Degree '</t>
  </si>
  <si>
    <t>Dia "</t>
  </si>
  <si>
    <t>0-360 degree Angle</t>
  </si>
  <si>
    <t>ea degree =</t>
  </si>
  <si>
    <t>Needed Column Width</t>
  </si>
  <si>
    <t>1/2 KO in '</t>
  </si>
  <si>
    <t>Edge of Hole</t>
  </si>
  <si>
    <t>Center of Hole</t>
  </si>
  <si>
    <t>Edge of Hole Closet to 0 degree</t>
  </si>
  <si>
    <t>t=asin(l/R)</t>
  </si>
  <si>
    <t>L</t>
  </si>
  <si>
    <t>s=2 PI R (0/360)</t>
  </si>
  <si>
    <t>T</t>
  </si>
  <si>
    <t>S arc length</t>
  </si>
  <si>
    <t>degrees</t>
  </si>
  <si>
    <t>Convert to degrees from radians</t>
  </si>
  <si>
    <t>Structure Radius</t>
  </si>
  <si>
    <t>1/2 Hole Dia</t>
  </si>
  <si>
    <t>24" Dia</t>
  </si>
  <si>
    <t>Arc Length of 1/2 Hole</t>
  </si>
  <si>
    <t>In Feet</t>
  </si>
  <si>
    <t xml:space="preserve"> </t>
  </si>
  <si>
    <t>Match Column</t>
  </si>
  <si>
    <t>Match Row</t>
  </si>
  <si>
    <t>Starting Degree</t>
  </si>
  <si>
    <t>Degrees between Pipe A and Pipe B</t>
  </si>
  <si>
    <t>Pipe A</t>
  </si>
  <si>
    <t>Pipe B</t>
  </si>
  <si>
    <t xml:space="preserve">Column Width Calculator </t>
  </si>
  <si>
    <t>Feet</t>
  </si>
  <si>
    <t>PSX  KO Hole Size</t>
  </si>
  <si>
    <t>X</t>
  </si>
  <si>
    <t>If #VALUE! A pipe size was selected that is not available</t>
  </si>
  <si>
    <t>This calculator provides column width between two pipes.  It is desired that a column is a minimum of 0.5' in width to provide structual stability.  You may need to complete the calculator for each of the pipe penetrations.  If unable to achieve 0.5' of column width the structure should be upsized.  Contact Bridger Precast for design issues.</t>
  </si>
  <si>
    <t>~Space Between Pipe Holes A &amp; B</t>
  </si>
  <si>
    <t>←</t>
  </si>
  <si>
    <t>112"</t>
  </si>
  <si>
    <t>Outputs:</t>
  </si>
  <si>
    <t>*** For questions and or suggestions please email tim@bridgerprecast.com***</t>
  </si>
  <si>
    <t>updated: 1/29/2025</t>
  </si>
  <si>
    <t>Additional help can be found here:</t>
  </si>
  <si>
    <t>https://precast.org/wp-content/uploads/100323_Products_ManholeSizingRecommendationGuide.pdf</t>
  </si>
  <si>
    <t>*** Use at your own risk***</t>
  </si>
  <si>
    <t>Output:</t>
  </si>
  <si>
    <t>120" and 144" Diameter manholes are also available with extended lead times.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</si>
</sst>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5" formatCode="0.000000"/>
  </numFmts>
  <fonts count="7" x14ac:knownFonts="1">
    <font>
      <sz val="11"/>
      <color theme="1"/>
      <name val="Aptos Narrow"/>
      <family val="2"/>
      <scheme val="minor"/>
    </font>
    <font>
      <b/>
      <sz val="11"/>
      <color theme="1"/>
      <name val="Aptos Narrow"/>
      <family val="2"/>
      <scheme val="minor"/>
    </font>
    <font>
      <b/>
      <sz val="14"/>
      <color theme="1"/>
      <name val="Aptos Narrow"/>
      <family val="2"/>
      <scheme val="minor"/>
    </font>
    <font>
      <sz val="11"/>
      <color theme="1"/>
      <name val="Aptos Narrow"/>
      <family val="2"/>
      <scheme val="minor"/>
    </font>
    <font>
      <sz val="11"/>
      <color theme="1"/>
      <name val="Aptos Narrow"/>
      <family val="2"/>
    </font>
    <font>
      <u/>
      <sz val="11"/>
      <color theme="10"/>
      <name val="Aptos Narrow"/>
      <family val="2"/>
      <scheme val="minor"/>
    </font>
    <font>
      <sz val="8"/>
      <color theme="1"/>
      <name val="Aptos Narrow"/>
      <family val="2"/>
      <scheme val="minor"/>
    </font>
  </fonts>
  <fills count="7">
    <fill>
      <patternFill patternType="none"/>
    </fill>
    <fill>
      <patternFill patternType="gray125"/>
    </fill>
    <fill>
      <patternFill patternType="solid">
        <fgColor theme="3" tint="0.89999084444715716"/>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7"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3" fontId="3" fillId="0" borderId="0" applyFont="0" applyFill="0" applyBorder="0" applyAlignment="0" applyProtection="0"/>
    <xf numFmtId="0" fontId="5" fillId="0" borderId="0" applyNumberFormat="0" applyFill="0" applyBorder="0" applyAlignment="0" applyProtection="0"/>
  </cellStyleXfs>
  <cellXfs count="47">
    <xf numFmtId="0" fontId="0" fillId="0" borderId="0" xfId="0"/>
    <xf numFmtId="0" fontId="1" fillId="0" borderId="1" xfId="0" applyFont="1" applyBorder="1" applyAlignment="1">
      <alignment horizontal="center" vertical="center" wrapText="1"/>
    </xf>
    <xf numFmtId="0" fontId="0" fillId="0" borderId="1" xfId="0" applyBorder="1" applyAlignment="1">
      <alignment horizontal="center"/>
    </xf>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 xfId="0" applyBorder="1" applyAlignment="1">
      <alignment horizontal="right"/>
    </xf>
    <xf numFmtId="0" fontId="0" fillId="2" borderId="1" xfId="0" applyFill="1" applyBorder="1" applyAlignment="1">
      <alignment horizontal="left"/>
    </xf>
    <xf numFmtId="0" fontId="1" fillId="2" borderId="1" xfId="0" applyFont="1" applyFill="1" applyBorder="1"/>
    <xf numFmtId="0" fontId="0" fillId="3" borderId="1" xfId="0" applyFill="1" applyBorder="1" applyAlignment="1">
      <alignment horizontal="right"/>
    </xf>
    <xf numFmtId="2" fontId="0" fillId="3" borderId="1" xfId="0" applyNumberFormat="1" applyFill="1" applyBorder="1" applyAlignment="1">
      <alignment horizontal="left"/>
    </xf>
    <xf numFmtId="0" fontId="0" fillId="3" borderId="1" xfId="0" applyFill="1" applyBorder="1"/>
    <xf numFmtId="0" fontId="0" fillId="4" borderId="5" xfId="0" applyFill="1" applyBorder="1"/>
    <xf numFmtId="0" fontId="0" fillId="4" borderId="7" xfId="0" applyFill="1" applyBorder="1"/>
    <xf numFmtId="0" fontId="0" fillId="5" borderId="1" xfId="0" applyFill="1" applyBorder="1" applyAlignment="1">
      <alignment horizontal="center"/>
    </xf>
    <xf numFmtId="0" fontId="0" fillId="6" borderId="1" xfId="0" applyFill="1" applyBorder="1" applyAlignment="1">
      <alignment horizontal="center"/>
    </xf>
    <xf numFmtId="0" fontId="0" fillId="0" borderId="1" xfId="0" applyBorder="1"/>
    <xf numFmtId="0" fontId="0" fillId="0" borderId="0" xfId="0" applyAlignment="1">
      <alignment horizontal="center"/>
    </xf>
    <xf numFmtId="0" fontId="1" fillId="2" borderId="1" xfId="0" applyFont="1" applyFill="1" applyBorder="1" applyAlignment="1">
      <alignment horizontal="center"/>
    </xf>
    <xf numFmtId="0" fontId="0" fillId="2" borderId="1" xfId="0" applyFill="1" applyBorder="1" applyAlignment="1">
      <alignment horizontal="center"/>
    </xf>
    <xf numFmtId="164" fontId="0" fillId="0" borderId="0" xfId="0" applyNumberFormat="1"/>
    <xf numFmtId="165" fontId="0" fillId="0" borderId="0" xfId="0" applyNumberFormat="1"/>
    <xf numFmtId="0" fontId="0" fillId="0" borderId="0" xfId="0" applyAlignment="1">
      <alignment horizontal="right"/>
    </xf>
    <xf numFmtId="43" fontId="0" fillId="0" borderId="0" xfId="1" applyFont="1"/>
    <xf numFmtId="0" fontId="1" fillId="0" borderId="0" xfId="0" applyFont="1"/>
    <xf numFmtId="164" fontId="1" fillId="0" borderId="0" xfId="0" applyNumberFormat="1" applyFont="1"/>
    <xf numFmtId="1" fontId="0" fillId="0" borderId="0" xfId="0" applyNumberFormat="1"/>
    <xf numFmtId="164" fontId="0" fillId="0" borderId="1" xfId="0" applyNumberFormat="1" applyBorder="1"/>
    <xf numFmtId="0" fontId="1" fillId="0" borderId="1" xfId="0" applyFont="1" applyBorder="1" applyAlignment="1">
      <alignment horizontal="right"/>
    </xf>
    <xf numFmtId="0" fontId="1" fillId="0" borderId="0" xfId="0" applyFont="1" applyAlignment="1">
      <alignment horizontal="right"/>
    </xf>
    <xf numFmtId="0" fontId="4" fillId="0" borderId="0" xfId="0" applyFont="1" applyAlignment="1">
      <alignment horizontal="right"/>
    </xf>
    <xf numFmtId="0" fontId="2" fillId="0" borderId="0" xfId="0" applyFont="1" applyAlignment="1">
      <alignment horizontal="center"/>
    </xf>
    <xf numFmtId="0" fontId="0" fillId="0" borderId="0" xfId="0" applyAlignment="1">
      <alignment horizontal="left" vertical="top" wrapText="1"/>
    </xf>
    <xf numFmtId="0" fontId="0" fillId="0" borderId="1" xfId="0" applyBorder="1" applyAlignment="1">
      <alignment horizontal="center"/>
    </xf>
    <xf numFmtId="0" fontId="1" fillId="3" borderId="1" xfId="0" applyFont="1" applyFill="1" applyBorder="1" applyAlignment="1">
      <alignment horizontal="left"/>
    </xf>
    <xf numFmtId="0" fontId="5" fillId="0" borderId="0" xfId="2"/>
    <xf numFmtId="0" fontId="6" fillId="0" borderId="0" xfId="0" applyFont="1"/>
    <xf numFmtId="0" fontId="1" fillId="0" borderId="0" xfId="0" applyFont="1" applyBorder="1" applyAlignment="1">
      <alignment horizontal="right"/>
    </xf>
    <xf numFmtId="0" fontId="1" fillId="3" borderId="1" xfId="0" applyFont="1" applyFill="1" applyBorder="1" applyAlignment="1">
      <alignment horizontal="center"/>
    </xf>
    <xf numFmtId="0" fontId="0" fillId="3" borderId="1" xfId="0" applyFill="1" applyBorder="1" applyAlignment="1">
      <alignment horizontal="center"/>
    </xf>
    <xf numFmtId="0" fontId="0" fillId="0" borderId="0" xfId="0" applyFill="1" applyBorder="1" applyAlignment="1">
      <alignment horizontal="center"/>
    </xf>
    <xf numFmtId="0" fontId="0" fillId="0" borderId="0" xfId="0" applyAlignment="1">
      <alignment horizontal="left"/>
    </xf>
  </cellXfs>
  <cellStyles count="3">
    <cellStyle name="Comma" xfId="1" builtinId="3"/>
    <cellStyle name="Hyperlink" xfId="2" builtinId="8"/>
    <cellStyle name="Normal" xfId="0" builtinId="0"/>
  </cellStyles>
  <dxfs count="3">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595313</xdr:colOff>
      <xdr:row>5</xdr:row>
      <xdr:rowOff>180975</xdr:rowOff>
    </xdr:to>
    <xdr:pic>
      <xdr:nvPicPr>
        <xdr:cNvPr id="3" name="Picture 2">
          <a:extLst>
            <a:ext uri="{FF2B5EF4-FFF2-40B4-BE49-F238E27FC236}">
              <a16:creationId xmlns:a16="http://schemas.microsoft.com/office/drawing/2014/main" id="{9C1EF5F4-6329-E192-7843-1A8CC41722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20157" cy="11235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27</xdr:row>
      <xdr:rowOff>29766</xdr:rowOff>
    </xdr:from>
    <xdr:to>
      <xdr:col>6</xdr:col>
      <xdr:colOff>347265</xdr:colOff>
      <xdr:row>47</xdr:row>
      <xdr:rowOff>160281</xdr:rowOff>
    </xdr:to>
    <xdr:pic>
      <xdr:nvPicPr>
        <xdr:cNvPr id="8" name="Picture 7">
          <a:extLst>
            <a:ext uri="{FF2B5EF4-FFF2-40B4-BE49-F238E27FC236}">
              <a16:creationId xmlns:a16="http://schemas.microsoft.com/office/drawing/2014/main" id="{622D315A-959B-AD38-CF83-431BD46F50D1}"/>
            </a:ext>
          </a:extLst>
        </xdr:cNvPr>
        <xdr:cNvPicPr>
          <a:picLocks noChangeAspect="1"/>
        </xdr:cNvPicPr>
      </xdr:nvPicPr>
      <xdr:blipFill>
        <a:blip xmlns:r="http://schemas.openxmlformats.org/officeDocument/2006/relationships" r:embed="rId2"/>
        <a:stretch>
          <a:fillRect/>
        </a:stretch>
      </xdr:blipFill>
      <xdr:spPr>
        <a:xfrm>
          <a:off x="0" y="5169297"/>
          <a:ext cx="5754687" cy="39008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400050</xdr:colOff>
      <xdr:row>5</xdr:row>
      <xdr:rowOff>180975</xdr:rowOff>
    </xdr:to>
    <xdr:pic>
      <xdr:nvPicPr>
        <xdr:cNvPr id="3" name="Picture 2">
          <a:extLst>
            <a:ext uri="{FF2B5EF4-FFF2-40B4-BE49-F238E27FC236}">
              <a16:creationId xmlns:a16="http://schemas.microsoft.com/office/drawing/2014/main" id="{B9FB7F33-7818-407C-9436-707B958D05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33650" cy="1133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266700</xdr:colOff>
      <xdr:row>0</xdr:row>
      <xdr:rowOff>161925</xdr:rowOff>
    </xdr:from>
    <xdr:to>
      <xdr:col>7</xdr:col>
      <xdr:colOff>166255</xdr:colOff>
      <xdr:row>15</xdr:row>
      <xdr:rowOff>127360</xdr:rowOff>
    </xdr:to>
    <xdr:pic>
      <xdr:nvPicPr>
        <xdr:cNvPr id="2" name="Picture 1">
          <a:extLst>
            <a:ext uri="{FF2B5EF4-FFF2-40B4-BE49-F238E27FC236}">
              <a16:creationId xmlns:a16="http://schemas.microsoft.com/office/drawing/2014/main" id="{3555CD31-2FC9-4733-B27F-87B7F7EBAE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3925" y="161925"/>
          <a:ext cx="4052455" cy="282293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recast.org/wp-content/uploads/100323_Products_ManholeSizingRecommendationGuide.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precast.org/wp-content/uploads/100323_Products_ManholeSizingRecommendationGuide.pdf"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E2023-A85E-427C-AD60-79528F9C9787}">
  <sheetPr>
    <tabColor theme="3" tint="0.89999084444715716"/>
  </sheetPr>
  <dimension ref="A8:D54"/>
  <sheetViews>
    <sheetView topLeftCell="A21" zoomScaleNormal="100" workbookViewId="0">
      <selection activeCell="A58" sqref="A58"/>
    </sheetView>
  </sheetViews>
  <sheetFormatPr defaultRowHeight="15" x14ac:dyDescent="0.25"/>
  <cols>
    <col min="1" max="1" width="28.85546875" customWidth="1"/>
    <col min="2" max="2" width="10.140625" customWidth="1"/>
    <col min="3" max="5" width="11" customWidth="1"/>
    <col min="7" max="7" width="19.28515625" customWidth="1"/>
    <col min="8" max="8" width="14.5703125" customWidth="1"/>
    <col min="14" max="14" width="10.5703125" customWidth="1"/>
  </cols>
  <sheetData>
    <row r="8" spans="1:2" ht="18.75" x14ac:dyDescent="0.3">
      <c r="A8" s="36" t="s">
        <v>75</v>
      </c>
      <c r="B8" s="36"/>
    </row>
    <row r="10" spans="1:2" x14ac:dyDescent="0.25">
      <c r="B10" s="13" t="s">
        <v>76</v>
      </c>
    </row>
    <row r="11" spans="1:2" x14ac:dyDescent="0.25">
      <c r="A11" s="11" t="s">
        <v>80</v>
      </c>
      <c r="B11" s="12" t="s">
        <v>4</v>
      </c>
    </row>
    <row r="12" spans="1:2" x14ac:dyDescent="0.25">
      <c r="A12" s="11" t="s">
        <v>47</v>
      </c>
      <c r="B12" s="12" t="s">
        <v>74</v>
      </c>
    </row>
    <row r="13" spans="1:2" x14ac:dyDescent="0.25">
      <c r="A13" s="11" t="s">
        <v>48</v>
      </c>
      <c r="B13" s="12" t="s">
        <v>11</v>
      </c>
    </row>
    <row r="14" spans="1:2" x14ac:dyDescent="0.25">
      <c r="A14" s="11" t="s">
        <v>70</v>
      </c>
      <c r="B14" s="12" t="s">
        <v>63</v>
      </c>
    </row>
    <row r="15" spans="1:2" x14ac:dyDescent="0.25">
      <c r="A15" s="11" t="s">
        <v>71</v>
      </c>
      <c r="B15" s="12" t="s">
        <v>53</v>
      </c>
    </row>
    <row r="17" spans="1:4" x14ac:dyDescent="0.25">
      <c r="B17" s="39" t="s">
        <v>157</v>
      </c>
    </row>
    <row r="18" spans="1:4" x14ac:dyDescent="0.25">
      <c r="A18" s="14" t="s">
        <v>115</v>
      </c>
      <c r="B18" s="16" t="str">
        <f>VLOOKUP(RIData!S13,RIData!S16:T66,2,FALSE)</f>
        <v>16"</v>
      </c>
    </row>
    <row r="19" spans="1:4" x14ac:dyDescent="0.25">
      <c r="A19" s="14" t="s">
        <v>79</v>
      </c>
      <c r="B19" s="15">
        <f>RIData!S4+RIData!S5+RIData!S6+RIData!S2+(((RIData!V2/2)+(RIData!S13/2))/12)</f>
        <v>2.5866666666666669</v>
      </c>
    </row>
    <row r="21" spans="1:4" x14ac:dyDescent="0.25">
      <c r="A21" t="s">
        <v>77</v>
      </c>
    </row>
    <row r="22" spans="1:4" x14ac:dyDescent="0.25">
      <c r="A22" s="37" t="s">
        <v>78</v>
      </c>
      <c r="B22" s="37"/>
      <c r="C22" s="37"/>
      <c r="D22" s="37"/>
    </row>
    <row r="23" spans="1:4" x14ac:dyDescent="0.25">
      <c r="A23" s="37"/>
      <c r="B23" s="37"/>
      <c r="C23" s="37"/>
      <c r="D23" s="37"/>
    </row>
    <row r="24" spans="1:4" x14ac:dyDescent="0.25">
      <c r="A24" s="37"/>
      <c r="B24" s="37"/>
      <c r="C24" s="37"/>
      <c r="D24" s="37"/>
    </row>
    <row r="25" spans="1:4" x14ac:dyDescent="0.25">
      <c r="A25" s="37"/>
      <c r="B25" s="37"/>
      <c r="C25" s="37"/>
      <c r="D25" s="37"/>
    </row>
    <row r="50" spans="1:3" x14ac:dyDescent="0.25">
      <c r="A50" t="s">
        <v>160</v>
      </c>
      <c r="C50" s="40" t="s">
        <v>161</v>
      </c>
    </row>
    <row r="52" spans="1:3" x14ac:dyDescent="0.25">
      <c r="A52" s="41" t="s">
        <v>158</v>
      </c>
    </row>
    <row r="53" spans="1:3" x14ac:dyDescent="0.25">
      <c r="A53" s="41" t="s">
        <v>162</v>
      </c>
    </row>
    <row r="54" spans="1:3" x14ac:dyDescent="0.25">
      <c r="A54" s="41" t="s">
        <v>159</v>
      </c>
    </row>
  </sheetData>
  <mergeCells count="2">
    <mergeCell ref="A8:B8"/>
    <mergeCell ref="A22:D25"/>
  </mergeCells>
  <hyperlinks>
    <hyperlink ref="C50" r:id="rId1" xr:uid="{4F2B5FA6-003E-413E-85F1-C0B3A905E964}"/>
  </hyperlinks>
  <pageMargins left="0.7" right="0.7" top="0.75" bottom="0.75" header="0.3" footer="0.3"/>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620F2670-268F-423B-8703-F7F1E6837FC4}">
          <x14:formula1>
            <xm:f>RIData!$B$18:$B$23</xm:f>
          </x14:formula1>
          <xm:sqref>E11 B14</xm:sqref>
        </x14:dataValidation>
        <x14:dataValidation type="list" allowBlank="1" showInputMessage="1" showErrorMessage="1" xr:uid="{A07361FC-6C73-4BE7-9F82-A319EBE81564}">
          <x14:formula1>
            <xm:f>RIData!$B$5:$B$9</xm:f>
          </x14:formula1>
          <xm:sqref>E7 B11</xm:sqref>
        </x14:dataValidation>
        <x14:dataValidation type="list" allowBlank="1" showInputMessage="1" showErrorMessage="1" xr:uid="{01E60F14-E7EE-49FF-BAB7-5AA6B3151786}">
          <x14:formula1>
            <xm:f>RIData!$F$5:$F$9</xm:f>
          </x14:formula1>
          <xm:sqref>E8 B12</xm:sqref>
        </x14:dataValidation>
        <x14:dataValidation type="list" allowBlank="1" showInputMessage="1" showErrorMessage="1" xr:uid="{FD393D56-A2A9-47CC-814E-BF6D888FB8A9}">
          <x14:formula1>
            <xm:f>RIData!$J$4:$J$13</xm:f>
          </x14:formula1>
          <xm:sqref>E9 B13</xm:sqref>
        </x14:dataValidation>
        <x14:dataValidation type="list" allowBlank="1" showInputMessage="1" showErrorMessage="1" xr:uid="{BC57924D-D743-42C8-8384-3F3CAD554F25}">
          <x14:formula1>
            <xm:f>RIData!$C$17:$P$17</xm:f>
          </x14:formula1>
          <xm:sqref>E10 B15</xm:sqref>
        </x14:dataValidation>
        <x14:dataValidation type="list" allowBlank="1" showInputMessage="1" showErrorMessage="1" xr:uid="{0015B7D9-8BE2-4F70-9B14-4C7D42CE95B8}">
          <x14:formula1>
            <xm:f>RIData!#REF!</xm:f>
          </x14:formula1>
          <xm:sqref>D16:E16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A5AD3-666A-4F82-BF37-0F616A5E4FC1}">
  <sheetPr>
    <tabColor theme="9" tint="0.79998168889431442"/>
  </sheetPr>
  <dimension ref="A8:Q50"/>
  <sheetViews>
    <sheetView workbookViewId="0">
      <selection activeCell="F54" sqref="F54"/>
    </sheetView>
  </sheetViews>
  <sheetFormatPr defaultRowHeight="15" x14ac:dyDescent="0.25"/>
  <cols>
    <col min="1" max="1" width="32" bestFit="1" customWidth="1"/>
    <col min="2" max="2" width="10.42578125" style="22" bestFit="1" customWidth="1"/>
    <col min="5" max="5" width="12" bestFit="1" customWidth="1"/>
    <col min="6" max="6" width="28" bestFit="1" customWidth="1"/>
    <col min="7" max="7" width="13.28515625" bestFit="1" customWidth="1"/>
    <col min="9" max="9" width="13.85546875" bestFit="1" customWidth="1"/>
    <col min="10" max="10" width="10.5703125" bestFit="1" customWidth="1"/>
  </cols>
  <sheetData>
    <row r="8" spans="1:14" ht="18.75" x14ac:dyDescent="0.3">
      <c r="A8" s="36" t="s">
        <v>148</v>
      </c>
      <c r="B8" s="36"/>
    </row>
    <row r="10" spans="1:14" x14ac:dyDescent="0.25">
      <c r="B10" s="23" t="s">
        <v>76</v>
      </c>
    </row>
    <row r="11" spans="1:14" x14ac:dyDescent="0.25">
      <c r="A11" s="33" t="s">
        <v>48</v>
      </c>
      <c r="B11" s="24" t="s">
        <v>11</v>
      </c>
    </row>
    <row r="12" spans="1:14" x14ac:dyDescent="0.25">
      <c r="A12" s="34"/>
      <c r="N12" s="27"/>
    </row>
    <row r="13" spans="1:14" x14ac:dyDescent="0.25">
      <c r="A13" s="29" t="s">
        <v>146</v>
      </c>
      <c r="N13" s="27"/>
    </row>
    <row r="14" spans="1:14" x14ac:dyDescent="0.25">
      <c r="A14" s="33" t="s">
        <v>70</v>
      </c>
      <c r="B14" s="24" t="s">
        <v>61</v>
      </c>
      <c r="N14" s="27"/>
    </row>
    <row r="15" spans="1:14" x14ac:dyDescent="0.25">
      <c r="A15" s="33" t="s">
        <v>71</v>
      </c>
      <c r="B15" s="24" t="s">
        <v>55</v>
      </c>
      <c r="N15" s="27"/>
    </row>
    <row r="16" spans="1:14" x14ac:dyDescent="0.25">
      <c r="A16" s="33" t="s">
        <v>144</v>
      </c>
      <c r="B16" s="24">
        <v>0</v>
      </c>
      <c r="N16" s="22"/>
    </row>
    <row r="17" spans="1:2" x14ac:dyDescent="0.25">
      <c r="A17" s="34"/>
    </row>
    <row r="18" spans="1:2" x14ac:dyDescent="0.25">
      <c r="A18" s="29" t="s">
        <v>147</v>
      </c>
    </row>
    <row r="19" spans="1:2" x14ac:dyDescent="0.25">
      <c r="A19" s="33" t="s">
        <v>70</v>
      </c>
      <c r="B19" s="24" t="s">
        <v>67</v>
      </c>
    </row>
    <row r="20" spans="1:2" x14ac:dyDescent="0.25">
      <c r="A20" s="33" t="s">
        <v>71</v>
      </c>
      <c r="B20" s="24" t="s">
        <v>23</v>
      </c>
    </row>
    <row r="21" spans="1:2" x14ac:dyDescent="0.25">
      <c r="A21" s="33" t="s">
        <v>145</v>
      </c>
      <c r="B21" s="24">
        <v>90</v>
      </c>
    </row>
    <row r="22" spans="1:2" x14ac:dyDescent="0.25">
      <c r="A22" s="34"/>
    </row>
    <row r="23" spans="1:2" hidden="1" x14ac:dyDescent="0.25">
      <c r="A23" s="29" t="s">
        <v>116</v>
      </c>
    </row>
    <row r="24" spans="1:2" hidden="1" x14ac:dyDescent="0.25">
      <c r="A24" s="33" t="s">
        <v>70</v>
      </c>
      <c r="B24" s="24" t="s">
        <v>63</v>
      </c>
    </row>
    <row r="25" spans="1:2" hidden="1" x14ac:dyDescent="0.25">
      <c r="A25" s="33" t="s">
        <v>71</v>
      </c>
      <c r="B25" s="24" t="s">
        <v>53</v>
      </c>
    </row>
    <row r="26" spans="1:2" hidden="1" x14ac:dyDescent="0.25">
      <c r="A26" s="33" t="s">
        <v>122</v>
      </c>
      <c r="B26" s="24"/>
    </row>
    <row r="27" spans="1:2" hidden="1" x14ac:dyDescent="0.25">
      <c r="A27" s="34"/>
    </row>
    <row r="28" spans="1:2" hidden="1" x14ac:dyDescent="0.25">
      <c r="A28" s="29" t="s">
        <v>117</v>
      </c>
    </row>
    <row r="29" spans="1:2" hidden="1" x14ac:dyDescent="0.25">
      <c r="A29" s="33" t="s">
        <v>70</v>
      </c>
      <c r="B29" s="24" t="s">
        <v>63</v>
      </c>
    </row>
    <row r="30" spans="1:2" hidden="1" x14ac:dyDescent="0.25">
      <c r="A30" s="33" t="s">
        <v>71</v>
      </c>
      <c r="B30" s="24" t="s">
        <v>53</v>
      </c>
    </row>
    <row r="31" spans="1:2" hidden="1" x14ac:dyDescent="0.25">
      <c r="A31" s="33" t="s">
        <v>122</v>
      </c>
      <c r="B31" s="2"/>
    </row>
    <row r="32" spans="1:2" x14ac:dyDescent="0.25">
      <c r="A32" s="42"/>
      <c r="B32" s="43" t="s">
        <v>163</v>
      </c>
    </row>
    <row r="33" spans="1:17" x14ac:dyDescent="0.25">
      <c r="A33" s="29"/>
      <c r="B33" s="44" t="s">
        <v>149</v>
      </c>
    </row>
    <row r="34" spans="1:17" x14ac:dyDescent="0.25">
      <c r="A34" s="33" t="s">
        <v>154</v>
      </c>
      <c r="B34" s="32">
        <f>((B21*CWData!D69)-CWData!E77)-CWData!E72</f>
        <v>0.61349332218220975</v>
      </c>
      <c r="C34" s="35" t="s">
        <v>155</v>
      </c>
      <c r="D34" t="s">
        <v>152</v>
      </c>
    </row>
    <row r="37" spans="1:17" x14ac:dyDescent="0.25">
      <c r="A37" t="s">
        <v>77</v>
      </c>
      <c r="B37"/>
    </row>
    <row r="38" spans="1:17" ht="15" customHeight="1" x14ac:dyDescent="0.25">
      <c r="A38" s="37" t="s">
        <v>153</v>
      </c>
      <c r="B38" s="37"/>
      <c r="C38" s="37"/>
      <c r="D38" s="37"/>
    </row>
    <row r="39" spans="1:17" x14ac:dyDescent="0.25">
      <c r="A39" s="37"/>
      <c r="B39" s="37"/>
      <c r="C39" s="37"/>
      <c r="D39" s="37"/>
    </row>
    <row r="40" spans="1:17" x14ac:dyDescent="0.25">
      <c r="A40" s="37"/>
      <c r="B40" s="37"/>
      <c r="C40" s="37"/>
      <c r="D40" s="37"/>
    </row>
    <row r="41" spans="1:17" x14ac:dyDescent="0.25">
      <c r="A41" s="37"/>
      <c r="B41" s="37"/>
      <c r="C41" s="37"/>
      <c r="D41" s="37"/>
      <c r="Q41" t="s">
        <v>141</v>
      </c>
    </row>
    <row r="42" spans="1:17" x14ac:dyDescent="0.25">
      <c r="A42" s="37"/>
      <c r="B42" s="37"/>
      <c r="C42" s="37"/>
      <c r="D42" s="37"/>
    </row>
    <row r="43" spans="1:17" x14ac:dyDescent="0.25">
      <c r="A43" s="37"/>
      <c r="B43" s="37"/>
      <c r="C43" s="37"/>
      <c r="D43" s="37"/>
    </row>
    <row r="46" spans="1:17" x14ac:dyDescent="0.25">
      <c r="A46" t="s">
        <v>160</v>
      </c>
      <c r="B46"/>
      <c r="C46" s="40" t="s">
        <v>161</v>
      </c>
    </row>
    <row r="47" spans="1:17" x14ac:dyDescent="0.25">
      <c r="B47"/>
    </row>
    <row r="48" spans="1:17" x14ac:dyDescent="0.25">
      <c r="A48" s="41" t="s">
        <v>158</v>
      </c>
      <c r="B48"/>
    </row>
    <row r="49" spans="1:2" x14ac:dyDescent="0.25">
      <c r="A49" s="41" t="s">
        <v>162</v>
      </c>
      <c r="B49"/>
    </row>
    <row r="50" spans="1:2" x14ac:dyDescent="0.25">
      <c r="A50" s="41" t="s">
        <v>159</v>
      </c>
      <c r="B50"/>
    </row>
  </sheetData>
  <mergeCells count="2">
    <mergeCell ref="A8:B8"/>
    <mergeCell ref="A38:D43"/>
  </mergeCells>
  <hyperlinks>
    <hyperlink ref="C46" r:id="rId1" xr:uid="{1AA53F70-4047-4682-BB16-06A0E778024B}"/>
  </hyperlinks>
  <pageMargins left="0.7" right="0.7" top="0.75" bottom="0.75" header="0.3" footer="0.3"/>
  <drawing r:id="rId2"/>
  <extLst>
    <ext xmlns:x14="http://schemas.microsoft.com/office/spreadsheetml/2009/9/main" uri="{78C0D931-6437-407d-A8EE-F0AAD7539E65}">
      <x14:conditionalFormattings>
        <x14:conditionalFormatting xmlns:xm="http://schemas.microsoft.com/office/excel/2006/main">
          <x14:cfRule type="cellIs" priority="7" operator="equal" id="{A7212B16-4C3D-41E5-BD0C-55B4F6034DC8}">
            <xm:f>CWData!$D$90</xm:f>
            <x14:dxf>
              <font>
                <color rgb="FF006100"/>
              </font>
              <fill>
                <patternFill>
                  <bgColor rgb="FFC6EFCE"/>
                </patternFill>
              </fill>
            </x14:dxf>
          </x14:cfRule>
          <x14:cfRule type="cellIs" priority="8" operator="lessThan" id="{1F344F50-0F89-4E45-BDB1-C8883419103F}">
            <xm:f>CWData!$D$90</xm:f>
            <x14:dxf>
              <font>
                <color rgb="FF9C0006"/>
              </font>
              <fill>
                <patternFill>
                  <bgColor rgb="FFFFC7CE"/>
                </patternFill>
              </fill>
            </x14:dxf>
          </x14:cfRule>
          <x14:cfRule type="cellIs" priority="9" operator="greaterThan" id="{E2A38661-A41E-4365-A7AA-B73D522BEA57}">
            <xm:f>CWData!$D$90</xm:f>
            <x14:dxf>
              <font>
                <color rgb="FF006100"/>
              </font>
              <fill>
                <patternFill>
                  <bgColor rgb="FFC6EFCE"/>
                </patternFill>
              </fill>
            </x14:dxf>
          </x14:cfRule>
          <xm:sqref>B34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B204E951-87B7-4DB9-84FB-07FB70865BDC}">
          <x14:formula1>
            <xm:f>RIData!$C$17:$P$17</xm:f>
          </x14:formula1>
          <xm:sqref>B30 B20 B25 B15</xm:sqref>
        </x14:dataValidation>
        <x14:dataValidation type="list" allowBlank="1" showInputMessage="1" showErrorMessage="1" xr:uid="{5A77A38C-05ED-477D-BB5F-3D2EEF7801F5}">
          <x14:formula1>
            <xm:f>CWData!$C$6:$K$6</xm:f>
          </x14:formula1>
          <xm:sqref>B11</xm:sqref>
        </x14:dataValidation>
        <x14:dataValidation type="list" allowBlank="1" showInputMessage="1" showErrorMessage="1" xr:uid="{BCE508B0-375C-4553-A3D4-4EC4EB56D9E9}">
          <x14:formula1>
            <xm:f>RIData!$B$18:$B$23</xm:f>
          </x14:formula1>
          <xm:sqref>B14 B19 B24 B29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B2619-0A79-42C4-9EE2-1187487DAE19}">
  <sheetPr>
    <tabColor theme="5" tint="0.59999389629810485"/>
  </sheetPr>
  <dimension ref="A18:M28"/>
  <sheetViews>
    <sheetView tabSelected="1" workbookViewId="0">
      <selection activeCell="E32" sqref="E32"/>
    </sheetView>
  </sheetViews>
  <sheetFormatPr defaultRowHeight="15" x14ac:dyDescent="0.25"/>
  <cols>
    <col min="1" max="1" width="9.85546875" customWidth="1"/>
    <col min="5" max="5" width="16.5703125" bestFit="1" customWidth="1"/>
    <col min="8" max="8" width="10.7109375" customWidth="1"/>
    <col min="12" max="12" width="11" customWidth="1"/>
  </cols>
  <sheetData>
    <row r="18" spans="1:7" x14ac:dyDescent="0.25">
      <c r="B18" s="1" t="s">
        <v>17</v>
      </c>
      <c r="C18" s="1" t="s">
        <v>18</v>
      </c>
      <c r="D18" s="1" t="s">
        <v>19</v>
      </c>
      <c r="E18" s="1" t="s">
        <v>20</v>
      </c>
      <c r="F18" s="1" t="s">
        <v>21</v>
      </c>
      <c r="G18" s="1" t="s">
        <v>22</v>
      </c>
    </row>
    <row r="19" spans="1:7" x14ac:dyDescent="0.25">
      <c r="B19" s="2" t="s">
        <v>23</v>
      </c>
      <c r="C19" s="2" t="s">
        <v>24</v>
      </c>
      <c r="D19" s="2" t="s">
        <v>8</v>
      </c>
      <c r="E19" s="2" t="s">
        <v>25</v>
      </c>
      <c r="F19" s="2" t="s">
        <v>25</v>
      </c>
      <c r="G19" s="2" t="s">
        <v>26</v>
      </c>
    </row>
    <row r="20" spans="1:7" x14ac:dyDescent="0.25">
      <c r="B20" s="2" t="s">
        <v>8</v>
      </c>
      <c r="C20" s="2" t="s">
        <v>27</v>
      </c>
      <c r="D20" s="2" t="s">
        <v>28</v>
      </c>
      <c r="E20" s="2" t="s">
        <v>25</v>
      </c>
      <c r="F20" s="2" t="s">
        <v>25</v>
      </c>
      <c r="G20" s="2" t="s">
        <v>26</v>
      </c>
    </row>
    <row r="21" spans="1:7" x14ac:dyDescent="0.25">
      <c r="B21" s="2" t="s">
        <v>29</v>
      </c>
      <c r="C21" s="2" t="s">
        <v>30</v>
      </c>
      <c r="D21" s="2" t="s">
        <v>31</v>
      </c>
      <c r="E21" s="2" t="s">
        <v>25</v>
      </c>
      <c r="F21" s="2" t="s">
        <v>25</v>
      </c>
      <c r="G21" s="2" t="s">
        <v>26</v>
      </c>
    </row>
    <row r="22" spans="1:7" x14ac:dyDescent="0.25">
      <c r="B22" s="2" t="s">
        <v>32</v>
      </c>
      <c r="C22" s="2" t="s">
        <v>33</v>
      </c>
      <c r="D22" s="2" t="s">
        <v>34</v>
      </c>
      <c r="E22" s="2" t="s">
        <v>26</v>
      </c>
      <c r="F22" s="2" t="s">
        <v>35</v>
      </c>
      <c r="G22" s="2" t="s">
        <v>26</v>
      </c>
    </row>
    <row r="23" spans="1:7" x14ac:dyDescent="0.25">
      <c r="B23" s="2" t="s">
        <v>36</v>
      </c>
      <c r="C23" s="2" t="s">
        <v>26</v>
      </c>
      <c r="D23" s="2" t="s">
        <v>37</v>
      </c>
      <c r="E23" s="2" t="s">
        <v>26</v>
      </c>
      <c r="F23" s="2" t="s">
        <v>38</v>
      </c>
      <c r="G23" s="2" t="s">
        <v>39</v>
      </c>
    </row>
    <row r="24" spans="1:7" x14ac:dyDescent="0.25">
      <c r="B24" s="2" t="s">
        <v>37</v>
      </c>
      <c r="C24" s="2" t="s">
        <v>40</v>
      </c>
      <c r="D24" s="2" t="s">
        <v>41</v>
      </c>
      <c r="E24" s="2" t="s">
        <v>42</v>
      </c>
      <c r="F24" s="2" t="s">
        <v>42</v>
      </c>
      <c r="G24" s="2" t="s">
        <v>39</v>
      </c>
    </row>
    <row r="25" spans="1:7" x14ac:dyDescent="0.25">
      <c r="B25" s="2" t="s">
        <v>43</v>
      </c>
      <c r="C25" s="2" t="s">
        <v>39</v>
      </c>
      <c r="D25" s="2" t="s">
        <v>156</v>
      </c>
      <c r="E25" s="2" t="s">
        <v>42</v>
      </c>
      <c r="F25" s="2" t="s">
        <v>42</v>
      </c>
      <c r="G25" s="2" t="s">
        <v>39</v>
      </c>
    </row>
    <row r="28" spans="1:7" x14ac:dyDescent="0.25">
      <c r="A28" s="46"/>
      <c r="E28" s="45" t="s">
        <v>164</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A8F97-C7D6-45AA-AE27-2C979E58E795}">
  <sheetPr>
    <tabColor theme="1"/>
  </sheetPr>
  <dimension ref="B1:V66"/>
  <sheetViews>
    <sheetView workbookViewId="0">
      <selection activeCell="M48" sqref="M48"/>
    </sheetView>
  </sheetViews>
  <sheetFormatPr defaultRowHeight="15" x14ac:dyDescent="0.25"/>
  <cols>
    <col min="2" max="2" width="10.5703125" customWidth="1"/>
  </cols>
  <sheetData>
    <row r="1" spans="2:22" ht="15.75" thickBot="1" x14ac:dyDescent="0.3"/>
    <row r="2" spans="2:22" x14ac:dyDescent="0.25">
      <c r="J2" s="3"/>
      <c r="K2" s="4">
        <v>1</v>
      </c>
      <c r="L2" s="4">
        <v>2</v>
      </c>
      <c r="M2" s="4">
        <v>3</v>
      </c>
      <c r="N2" s="4">
        <v>4</v>
      </c>
      <c r="O2" s="4">
        <v>5</v>
      </c>
      <c r="P2" s="5">
        <v>6</v>
      </c>
      <c r="R2" s="3" t="s">
        <v>50</v>
      </c>
      <c r="S2" s="4">
        <v>0.17</v>
      </c>
      <c r="T2" s="4"/>
      <c r="U2" s="4" t="s">
        <v>81</v>
      </c>
      <c r="V2" s="5">
        <f>HLOOKUP('Rim to Invert Calc'!B15,RIData!C35:P36,2,FALSE)</f>
        <v>12</v>
      </c>
    </row>
    <row r="3" spans="2:22" ht="15.75" thickBot="1" x14ac:dyDescent="0.3">
      <c r="J3" s="6" t="s">
        <v>5</v>
      </c>
      <c r="K3" t="s">
        <v>16</v>
      </c>
      <c r="L3" t="s">
        <v>119</v>
      </c>
      <c r="M3" t="s">
        <v>120</v>
      </c>
      <c r="N3" t="s">
        <v>121</v>
      </c>
      <c r="P3" s="7"/>
      <c r="R3" s="6"/>
      <c r="V3" s="7"/>
    </row>
    <row r="4" spans="2:22" x14ac:dyDescent="0.25">
      <c r="B4" s="3" t="s">
        <v>0</v>
      </c>
      <c r="C4" s="5" t="s">
        <v>1</v>
      </c>
      <c r="F4" s="3" t="s">
        <v>45</v>
      </c>
      <c r="G4" s="5"/>
      <c r="J4" s="6" t="s">
        <v>6</v>
      </c>
      <c r="K4">
        <v>0</v>
      </c>
      <c r="L4">
        <v>0</v>
      </c>
      <c r="M4">
        <v>0</v>
      </c>
      <c r="N4">
        <v>0</v>
      </c>
      <c r="P4" s="7"/>
      <c r="R4" s="6"/>
      <c r="S4">
        <f>VLOOKUP('Rim to Invert Calc'!B11,Casting,2,0)</f>
        <v>0.57999999999999996</v>
      </c>
      <c r="V4" s="7"/>
    </row>
    <row r="5" spans="2:22" x14ac:dyDescent="0.25">
      <c r="B5" s="6" t="s">
        <v>2</v>
      </c>
      <c r="C5" s="7">
        <v>0.33</v>
      </c>
      <c r="F5" s="6" t="s">
        <v>73</v>
      </c>
      <c r="G5" s="7">
        <v>0</v>
      </c>
      <c r="J5" s="6" t="s">
        <v>7</v>
      </c>
      <c r="K5">
        <v>0</v>
      </c>
      <c r="L5">
        <v>0</v>
      </c>
      <c r="M5">
        <v>0</v>
      </c>
      <c r="N5">
        <v>0</v>
      </c>
      <c r="P5" s="7"/>
      <c r="R5" s="6"/>
      <c r="S5">
        <f>VLOOKUP('Rim to Invert Calc'!B12,RIData!F5:G9,2,)</f>
        <v>0.17</v>
      </c>
      <c r="U5">
        <f>(((V2/2)+(S13/2))/12)</f>
        <v>1.1666666666666667</v>
      </c>
      <c r="V5" s="7"/>
    </row>
    <row r="6" spans="2:22" x14ac:dyDescent="0.25">
      <c r="B6" s="6" t="s">
        <v>3</v>
      </c>
      <c r="C6" s="7">
        <v>0.33</v>
      </c>
      <c r="F6" s="6" t="s">
        <v>74</v>
      </c>
      <c r="G6" s="7">
        <v>0.17</v>
      </c>
      <c r="J6" s="6" t="s">
        <v>9</v>
      </c>
      <c r="K6">
        <v>0</v>
      </c>
      <c r="L6">
        <f>((3.14*N6)/12)</f>
        <v>7.8500000000000005</v>
      </c>
      <c r="M6">
        <f>L6/360</f>
        <v>2.1805555555555557E-2</v>
      </c>
      <c r="N6">
        <v>30</v>
      </c>
      <c r="P6" s="7"/>
      <c r="R6" s="6" t="s">
        <v>16</v>
      </c>
      <c r="S6">
        <f>VLOOKUP('Rim to Invert Calc'!B13,Structure,2,0)</f>
        <v>0.5</v>
      </c>
      <c r="V6" s="7"/>
    </row>
    <row r="7" spans="2:22" x14ac:dyDescent="0.25">
      <c r="B7" s="6" t="s">
        <v>4</v>
      </c>
      <c r="C7" s="7">
        <v>0.57999999999999996</v>
      </c>
      <c r="F7" s="6" t="s">
        <v>24</v>
      </c>
      <c r="G7" s="7">
        <v>0.25</v>
      </c>
      <c r="J7" s="6" t="s">
        <v>10</v>
      </c>
      <c r="K7">
        <v>0.5</v>
      </c>
      <c r="L7">
        <f t="shared" ref="L7:L11" si="0">((3.14*N7)/12)</f>
        <v>9.42</v>
      </c>
      <c r="M7">
        <f t="shared" ref="M7:M11" si="1">L7/360</f>
        <v>2.6166666666666668E-2</v>
      </c>
      <c r="N7">
        <v>36</v>
      </c>
      <c r="P7" s="7"/>
      <c r="R7" s="6"/>
      <c r="S7">
        <f>MATCH('Rim to Invert Calc'!B15,RIData!C26:P26,0)</f>
        <v>3</v>
      </c>
      <c r="V7" s="7"/>
    </row>
    <row r="8" spans="2:22" x14ac:dyDescent="0.25">
      <c r="B8" s="6" t="s">
        <v>44</v>
      </c>
      <c r="C8" s="7"/>
      <c r="F8" s="6" t="s">
        <v>30</v>
      </c>
      <c r="G8" s="7">
        <v>0.33</v>
      </c>
      <c r="J8" s="6" t="s">
        <v>11</v>
      </c>
      <c r="K8">
        <v>0.5</v>
      </c>
      <c r="L8">
        <f t="shared" si="0"/>
        <v>12.56</v>
      </c>
      <c r="M8">
        <f t="shared" si="1"/>
        <v>3.4888888888888893E-2</v>
      </c>
      <c r="N8">
        <v>48</v>
      </c>
      <c r="P8" s="7"/>
      <c r="R8" s="6"/>
      <c r="S8">
        <f>MATCH('Rim to Invert Calc'!B14,RIData!B18:B23,0)</f>
        <v>5</v>
      </c>
      <c r="V8" s="7"/>
    </row>
    <row r="9" spans="2:22" ht="15.75" thickBot="1" x14ac:dyDescent="0.3">
      <c r="B9" s="8" t="s">
        <v>44</v>
      </c>
      <c r="C9" s="10"/>
      <c r="F9" s="8" t="s">
        <v>26</v>
      </c>
      <c r="G9" s="10">
        <v>0.5</v>
      </c>
      <c r="J9" s="6" t="s">
        <v>12</v>
      </c>
      <c r="K9">
        <v>0.67</v>
      </c>
      <c r="L9">
        <f t="shared" si="0"/>
        <v>15.700000000000001</v>
      </c>
      <c r="M9">
        <f t="shared" si="1"/>
        <v>4.3611111111111114E-2</v>
      </c>
      <c r="N9">
        <v>60</v>
      </c>
      <c r="P9" s="7"/>
      <c r="R9" s="6"/>
      <c r="V9" s="7"/>
    </row>
    <row r="10" spans="2:22" x14ac:dyDescent="0.25">
      <c r="J10" s="6" t="s">
        <v>13</v>
      </c>
      <c r="K10">
        <v>0.67</v>
      </c>
      <c r="L10">
        <f t="shared" si="0"/>
        <v>18.84</v>
      </c>
      <c r="M10">
        <f t="shared" si="1"/>
        <v>5.2333333333333336E-2</v>
      </c>
      <c r="N10">
        <v>72</v>
      </c>
      <c r="P10" s="7"/>
      <c r="R10" s="6"/>
      <c r="S10">
        <f>MATCH('Rim to Invert Calc'!B15,RIData!C26:P26,0)</f>
        <v>3</v>
      </c>
      <c r="V10" s="7"/>
    </row>
    <row r="11" spans="2:22" x14ac:dyDescent="0.25">
      <c r="J11" s="6" t="s">
        <v>14</v>
      </c>
      <c r="K11">
        <v>0.67</v>
      </c>
      <c r="L11">
        <f t="shared" si="0"/>
        <v>25.12</v>
      </c>
      <c r="M11">
        <f t="shared" si="1"/>
        <v>6.9777777777777786E-2</v>
      </c>
      <c r="N11">
        <v>96</v>
      </c>
      <c r="P11" s="7"/>
      <c r="R11" s="6"/>
      <c r="S11">
        <f>MATCH('Rim to Invert Calc'!B14,RIData!B27:B32,0)</f>
        <v>5</v>
      </c>
      <c r="V11" s="7"/>
    </row>
    <row r="12" spans="2:22" x14ac:dyDescent="0.25">
      <c r="J12" s="6" t="s">
        <v>44</v>
      </c>
      <c r="K12">
        <v>0</v>
      </c>
      <c r="L12" t="s">
        <v>44</v>
      </c>
      <c r="M12" t="s">
        <v>44</v>
      </c>
      <c r="N12" t="s">
        <v>44</v>
      </c>
      <c r="P12" s="7"/>
      <c r="R12" s="6" t="s">
        <v>51</v>
      </c>
      <c r="S12" cm="1">
        <f t="array" ref="S12">INDEX(RIData!C18:P23,S8,S7)</f>
        <v>12.8</v>
      </c>
      <c r="V12" s="7"/>
    </row>
    <row r="13" spans="2:22" ht="15.75" thickBot="1" x14ac:dyDescent="0.3">
      <c r="J13" s="8" t="s">
        <v>44</v>
      </c>
      <c r="K13" s="9">
        <v>0</v>
      </c>
      <c r="L13" s="9" t="s">
        <v>44</v>
      </c>
      <c r="M13" s="9" t="s">
        <v>44</v>
      </c>
      <c r="N13" s="9" t="s">
        <v>44</v>
      </c>
      <c r="O13" s="9"/>
      <c r="P13" s="10"/>
      <c r="R13" s="8" t="s">
        <v>72</v>
      </c>
      <c r="S13" s="9" cm="1">
        <f t="array" ref="S13">INDEX(RIData!C27:P32,S11,S10)</f>
        <v>16</v>
      </c>
      <c r="T13" s="9"/>
      <c r="U13" s="9"/>
      <c r="V13" s="10"/>
    </row>
    <row r="15" spans="2:22" ht="15.75" thickBot="1" x14ac:dyDescent="0.3"/>
    <row r="16" spans="2:22" x14ac:dyDescent="0.25">
      <c r="B16" s="3" t="s">
        <v>49</v>
      </c>
      <c r="C16" s="4"/>
      <c r="D16" s="4"/>
      <c r="E16" s="4"/>
      <c r="F16" s="4"/>
      <c r="G16" s="4"/>
      <c r="H16" s="4"/>
      <c r="I16" s="4"/>
      <c r="J16" s="4"/>
      <c r="K16" s="4"/>
      <c r="L16" s="4"/>
      <c r="M16" s="4"/>
      <c r="N16" s="4"/>
      <c r="O16" s="4"/>
      <c r="P16" s="5"/>
      <c r="S16" s="3">
        <v>11</v>
      </c>
      <c r="T16" s="5" t="s">
        <v>82</v>
      </c>
    </row>
    <row r="17" spans="2:20" x14ac:dyDescent="0.25">
      <c r="B17" s="6"/>
      <c r="C17" t="s">
        <v>39</v>
      </c>
      <c r="D17" t="s">
        <v>66</v>
      </c>
      <c r="E17" t="s">
        <v>53</v>
      </c>
      <c r="F17" t="s">
        <v>54</v>
      </c>
      <c r="G17" t="s">
        <v>55</v>
      </c>
      <c r="H17" t="s">
        <v>56</v>
      </c>
      <c r="I17" t="s">
        <v>23</v>
      </c>
      <c r="J17" t="s">
        <v>57</v>
      </c>
      <c r="K17" t="s">
        <v>8</v>
      </c>
      <c r="L17" t="s">
        <v>29</v>
      </c>
      <c r="M17" t="s">
        <v>59</v>
      </c>
      <c r="N17" t="s">
        <v>32</v>
      </c>
      <c r="O17" t="s">
        <v>69</v>
      </c>
      <c r="P17" s="7" t="s">
        <v>36</v>
      </c>
      <c r="S17" s="6">
        <v>12</v>
      </c>
      <c r="T17" s="7" t="s">
        <v>53</v>
      </c>
    </row>
    <row r="18" spans="2:20" x14ac:dyDescent="0.25">
      <c r="B18" s="6" t="s">
        <v>61</v>
      </c>
      <c r="C18">
        <v>8.4</v>
      </c>
      <c r="D18">
        <v>10.5</v>
      </c>
      <c r="E18">
        <v>12.5</v>
      </c>
      <c r="F18">
        <v>15.3</v>
      </c>
      <c r="G18">
        <v>18.7</v>
      </c>
      <c r="H18">
        <v>22.05</v>
      </c>
      <c r="I18">
        <v>24.8</v>
      </c>
      <c r="J18">
        <v>27.95</v>
      </c>
      <c r="K18">
        <v>32</v>
      </c>
      <c r="L18">
        <v>38.299999999999997</v>
      </c>
      <c r="M18">
        <v>44.5</v>
      </c>
      <c r="N18">
        <v>50.8</v>
      </c>
      <c r="O18" t="s">
        <v>151</v>
      </c>
      <c r="P18" s="7" t="s">
        <v>151</v>
      </c>
      <c r="S18" s="6">
        <v>13</v>
      </c>
      <c r="T18" s="7" t="s">
        <v>83</v>
      </c>
    </row>
    <row r="19" spans="2:20" x14ac:dyDescent="0.25">
      <c r="B19" s="6" t="s">
        <v>67</v>
      </c>
      <c r="C19" t="s">
        <v>151</v>
      </c>
      <c r="D19" t="s">
        <v>151</v>
      </c>
      <c r="E19">
        <v>16</v>
      </c>
      <c r="F19">
        <v>19.5</v>
      </c>
      <c r="G19">
        <v>23</v>
      </c>
      <c r="H19">
        <v>26.5</v>
      </c>
      <c r="I19">
        <v>30</v>
      </c>
      <c r="J19" t="s">
        <v>151</v>
      </c>
      <c r="K19">
        <v>37</v>
      </c>
      <c r="L19">
        <v>44</v>
      </c>
      <c r="M19">
        <v>51</v>
      </c>
      <c r="N19">
        <v>58</v>
      </c>
      <c r="O19">
        <v>65</v>
      </c>
      <c r="P19" s="7">
        <v>72</v>
      </c>
      <c r="S19" s="6">
        <v>14</v>
      </c>
      <c r="T19" s="7" t="s">
        <v>84</v>
      </c>
    </row>
    <row r="20" spans="2:20" x14ac:dyDescent="0.25">
      <c r="B20" s="6" t="s">
        <v>68</v>
      </c>
      <c r="C20" t="s">
        <v>151</v>
      </c>
      <c r="D20" t="s">
        <v>151</v>
      </c>
      <c r="E20">
        <v>17.5</v>
      </c>
      <c r="F20">
        <v>21</v>
      </c>
      <c r="G20">
        <v>24.5</v>
      </c>
      <c r="H20">
        <v>28</v>
      </c>
      <c r="I20">
        <v>31.5</v>
      </c>
      <c r="J20" t="s">
        <v>151</v>
      </c>
      <c r="K20">
        <v>38.5</v>
      </c>
      <c r="L20">
        <f>36+4.75+4.75</f>
        <v>45.5</v>
      </c>
      <c r="M20">
        <f>42+5.25+5.25</f>
        <v>52.5</v>
      </c>
      <c r="N20">
        <f>48+5.75+5.75</f>
        <v>59.5</v>
      </c>
      <c r="O20">
        <v>66.5</v>
      </c>
      <c r="P20" s="7">
        <f>60+6.75+6.75</f>
        <v>73.5</v>
      </c>
      <c r="S20" s="6">
        <v>15</v>
      </c>
      <c r="T20" s="7" t="s">
        <v>54</v>
      </c>
    </row>
    <row r="21" spans="2:20" x14ac:dyDescent="0.25">
      <c r="B21" s="6" t="s">
        <v>62</v>
      </c>
      <c r="C21" t="s">
        <v>151</v>
      </c>
      <c r="D21" t="s">
        <v>151</v>
      </c>
      <c r="E21" t="s">
        <v>151</v>
      </c>
      <c r="F21">
        <v>17</v>
      </c>
      <c r="G21">
        <v>19.75</v>
      </c>
      <c r="H21" t="s">
        <v>151</v>
      </c>
      <c r="I21">
        <v>25</v>
      </c>
      <c r="J21" t="s">
        <v>151</v>
      </c>
      <c r="K21">
        <v>29.5</v>
      </c>
      <c r="L21">
        <v>34.625</v>
      </c>
      <c r="M21">
        <v>40.311999999999998</v>
      </c>
      <c r="N21">
        <v>46</v>
      </c>
      <c r="O21">
        <v>51</v>
      </c>
      <c r="P21" s="7">
        <v>57</v>
      </c>
      <c r="S21" s="6">
        <v>16</v>
      </c>
      <c r="T21" s="7" t="s">
        <v>52</v>
      </c>
    </row>
    <row r="22" spans="2:20" x14ac:dyDescent="0.25">
      <c r="B22" s="6" t="s">
        <v>63</v>
      </c>
      <c r="C22">
        <v>8.6</v>
      </c>
      <c r="D22">
        <v>10.8</v>
      </c>
      <c r="E22">
        <v>12.8</v>
      </c>
      <c r="F22">
        <v>15.7</v>
      </c>
      <c r="G22">
        <v>19.2</v>
      </c>
      <c r="H22">
        <v>22.6</v>
      </c>
      <c r="I22">
        <v>25.6</v>
      </c>
      <c r="J22" t="s">
        <v>151</v>
      </c>
      <c r="K22">
        <v>32.200000000000003</v>
      </c>
      <c r="L22">
        <v>38.700000000000003</v>
      </c>
      <c r="M22" t="s">
        <v>151</v>
      </c>
      <c r="N22" t="s">
        <v>151</v>
      </c>
      <c r="O22" t="s">
        <v>151</v>
      </c>
      <c r="P22" s="7" t="s">
        <v>151</v>
      </c>
      <c r="S22" s="6">
        <v>17</v>
      </c>
      <c r="T22" s="7" t="s">
        <v>85</v>
      </c>
    </row>
    <row r="23" spans="2:20" ht="15.75" thickBot="1" x14ac:dyDescent="0.3">
      <c r="B23" s="8" t="s">
        <v>64</v>
      </c>
      <c r="C23" s="9">
        <v>9.11</v>
      </c>
      <c r="D23" s="9">
        <v>11.36</v>
      </c>
      <c r="E23" s="9">
        <v>14.45</v>
      </c>
      <c r="F23" s="9">
        <v>17.57</v>
      </c>
      <c r="G23" s="9">
        <v>21.2</v>
      </c>
      <c r="H23" s="9" t="s">
        <v>151</v>
      </c>
      <c r="I23" s="9">
        <v>27.8</v>
      </c>
      <c r="J23" s="9" t="s">
        <v>151</v>
      </c>
      <c r="K23" s="9">
        <v>35.1</v>
      </c>
      <c r="L23" s="9">
        <v>41.7</v>
      </c>
      <c r="M23" s="9">
        <v>47.7</v>
      </c>
      <c r="N23" s="9">
        <v>53.5</v>
      </c>
      <c r="O23" s="9" t="s">
        <v>151</v>
      </c>
      <c r="P23" s="10">
        <v>66.3</v>
      </c>
      <c r="S23" s="6">
        <v>18</v>
      </c>
      <c r="T23" s="7" t="s">
        <v>55</v>
      </c>
    </row>
    <row r="24" spans="2:20" ht="15.75" thickBot="1" x14ac:dyDescent="0.3">
      <c r="S24" s="6">
        <v>19</v>
      </c>
      <c r="T24" s="7" t="s">
        <v>86</v>
      </c>
    </row>
    <row r="25" spans="2:20" x14ac:dyDescent="0.25">
      <c r="B25" s="3" t="s">
        <v>150</v>
      </c>
      <c r="C25" s="4"/>
      <c r="D25" s="4"/>
      <c r="E25" s="4"/>
      <c r="F25" s="4"/>
      <c r="G25" s="4"/>
      <c r="H25" s="4"/>
      <c r="I25" s="4"/>
      <c r="J25" s="4"/>
      <c r="K25" s="4"/>
      <c r="L25" s="4"/>
      <c r="M25" s="4"/>
      <c r="N25" s="4"/>
      <c r="O25" s="4"/>
      <c r="P25" s="5"/>
      <c r="S25" s="6">
        <v>20</v>
      </c>
      <c r="T25" s="7" t="s">
        <v>87</v>
      </c>
    </row>
    <row r="26" spans="2:20" x14ac:dyDescent="0.25">
      <c r="B26" s="6"/>
      <c r="C26" s="19" t="s">
        <v>39</v>
      </c>
      <c r="D26" s="19" t="s">
        <v>66</v>
      </c>
      <c r="E26" s="19" t="s">
        <v>53</v>
      </c>
      <c r="F26" s="19" t="s">
        <v>54</v>
      </c>
      <c r="G26" s="19" t="s">
        <v>55</v>
      </c>
      <c r="H26" s="19" t="s">
        <v>56</v>
      </c>
      <c r="I26" s="19" t="s">
        <v>23</v>
      </c>
      <c r="J26" s="19" t="s">
        <v>57</v>
      </c>
      <c r="K26" s="19" t="s">
        <v>8</v>
      </c>
      <c r="L26" s="19" t="s">
        <v>29</v>
      </c>
      <c r="M26" s="19" t="s">
        <v>59</v>
      </c>
      <c r="N26" s="19" t="s">
        <v>32</v>
      </c>
      <c r="O26" s="19" t="s">
        <v>69</v>
      </c>
      <c r="P26" s="19" t="s">
        <v>36</v>
      </c>
      <c r="S26" s="6">
        <v>21</v>
      </c>
      <c r="T26" s="7" t="s">
        <v>56</v>
      </c>
    </row>
    <row r="27" spans="2:20" x14ac:dyDescent="0.25">
      <c r="B27" s="17" t="s">
        <v>61</v>
      </c>
      <c r="C27" s="20">
        <v>11</v>
      </c>
      <c r="D27" s="20">
        <v>14</v>
      </c>
      <c r="E27" s="20">
        <v>16</v>
      </c>
      <c r="F27" s="20">
        <v>18</v>
      </c>
      <c r="G27" s="20">
        <v>22</v>
      </c>
      <c r="H27" s="20">
        <v>24</v>
      </c>
      <c r="I27" s="20">
        <v>28</v>
      </c>
      <c r="J27" s="20">
        <v>32</v>
      </c>
      <c r="K27" s="20">
        <v>36</v>
      </c>
      <c r="L27" s="20">
        <v>42</v>
      </c>
      <c r="M27" s="20">
        <v>48</v>
      </c>
      <c r="N27" s="20" t="s">
        <v>151</v>
      </c>
      <c r="O27" s="20" t="s">
        <v>151</v>
      </c>
      <c r="P27" s="20" t="s">
        <v>151</v>
      </c>
      <c r="S27" s="6">
        <v>22</v>
      </c>
      <c r="T27" s="7" t="s">
        <v>88</v>
      </c>
    </row>
    <row r="28" spans="2:20" x14ac:dyDescent="0.25">
      <c r="B28" s="17" t="s">
        <v>67</v>
      </c>
      <c r="C28" s="20" t="s">
        <v>151</v>
      </c>
      <c r="D28" s="20" t="s">
        <v>151</v>
      </c>
      <c r="E28" s="20">
        <v>20</v>
      </c>
      <c r="F28" s="20">
        <v>24</v>
      </c>
      <c r="G28" s="20">
        <v>26</v>
      </c>
      <c r="H28" s="20">
        <v>30</v>
      </c>
      <c r="I28" s="20">
        <v>34</v>
      </c>
      <c r="J28" s="20" t="s">
        <v>151</v>
      </c>
      <c r="K28" s="20">
        <v>42</v>
      </c>
      <c r="L28" s="20">
        <v>48</v>
      </c>
      <c r="M28" s="20" t="s">
        <v>151</v>
      </c>
      <c r="N28" s="20" t="s">
        <v>151</v>
      </c>
      <c r="O28" s="20" t="s">
        <v>151</v>
      </c>
      <c r="P28" s="20" t="s">
        <v>151</v>
      </c>
      <c r="S28" s="6">
        <v>23</v>
      </c>
      <c r="T28" s="7" t="s">
        <v>89</v>
      </c>
    </row>
    <row r="29" spans="2:20" x14ac:dyDescent="0.25">
      <c r="B29" s="17" t="s">
        <v>68</v>
      </c>
      <c r="C29" s="20" t="s">
        <v>151</v>
      </c>
      <c r="D29" s="20" t="s">
        <v>151</v>
      </c>
      <c r="E29" s="20">
        <v>22</v>
      </c>
      <c r="F29" s="20">
        <v>24</v>
      </c>
      <c r="G29" s="20">
        <v>28</v>
      </c>
      <c r="H29" s="20">
        <v>32</v>
      </c>
      <c r="I29" s="20">
        <v>36</v>
      </c>
      <c r="J29" s="20" t="s">
        <v>151</v>
      </c>
      <c r="K29" s="20">
        <v>42</v>
      </c>
      <c r="L29" s="20" t="s">
        <v>151</v>
      </c>
      <c r="M29" s="20" t="s">
        <v>151</v>
      </c>
      <c r="N29" s="20" t="s">
        <v>151</v>
      </c>
      <c r="O29" s="20" t="s">
        <v>151</v>
      </c>
      <c r="P29" s="20" t="s">
        <v>151</v>
      </c>
      <c r="S29" s="6">
        <v>24</v>
      </c>
      <c r="T29" s="7" t="s">
        <v>23</v>
      </c>
    </row>
    <row r="30" spans="2:20" x14ac:dyDescent="0.25">
      <c r="B30" s="17" t="s">
        <v>62</v>
      </c>
      <c r="C30" s="20" t="s">
        <v>151</v>
      </c>
      <c r="D30" s="20" t="s">
        <v>151</v>
      </c>
      <c r="E30" s="20" t="s">
        <v>151</v>
      </c>
      <c r="F30" s="20">
        <v>21</v>
      </c>
      <c r="G30" s="20">
        <v>24</v>
      </c>
      <c r="H30" s="20" t="s">
        <v>151</v>
      </c>
      <c r="I30" s="20">
        <v>29</v>
      </c>
      <c r="J30" s="20" t="s">
        <v>151</v>
      </c>
      <c r="K30" s="20">
        <v>33</v>
      </c>
      <c r="L30" s="20">
        <v>38</v>
      </c>
      <c r="M30" s="20">
        <v>44</v>
      </c>
      <c r="N30" s="20">
        <v>50</v>
      </c>
      <c r="O30" s="20">
        <v>56</v>
      </c>
      <c r="P30" s="20">
        <v>61</v>
      </c>
      <c r="S30" s="6">
        <v>25</v>
      </c>
      <c r="T30" s="7" t="s">
        <v>90</v>
      </c>
    </row>
    <row r="31" spans="2:20" x14ac:dyDescent="0.25">
      <c r="B31" s="17" t="s">
        <v>63</v>
      </c>
      <c r="C31" s="20">
        <v>12</v>
      </c>
      <c r="D31" s="20">
        <v>14</v>
      </c>
      <c r="E31" s="20">
        <v>16</v>
      </c>
      <c r="F31" s="20">
        <v>20</v>
      </c>
      <c r="G31" s="20">
        <v>24</v>
      </c>
      <c r="H31" s="20">
        <v>26</v>
      </c>
      <c r="I31" s="20">
        <v>30</v>
      </c>
      <c r="J31" s="20" t="s">
        <v>151</v>
      </c>
      <c r="K31" s="20">
        <v>38</v>
      </c>
      <c r="L31" s="20">
        <v>42</v>
      </c>
      <c r="M31" s="20" t="s">
        <v>151</v>
      </c>
      <c r="N31" s="20" t="s">
        <v>151</v>
      </c>
      <c r="O31" s="20" t="s">
        <v>151</v>
      </c>
      <c r="P31" s="20" t="s">
        <v>151</v>
      </c>
      <c r="S31" s="6">
        <v>26</v>
      </c>
      <c r="T31" s="7" t="s">
        <v>91</v>
      </c>
    </row>
    <row r="32" spans="2:20" ht="15.75" thickBot="1" x14ac:dyDescent="0.3">
      <c r="B32" s="18" t="s">
        <v>64</v>
      </c>
      <c r="C32" s="20">
        <v>12</v>
      </c>
      <c r="D32" s="20">
        <v>16</v>
      </c>
      <c r="E32" s="20">
        <v>18</v>
      </c>
      <c r="F32" s="20">
        <v>22</v>
      </c>
      <c r="G32" s="20">
        <v>24</v>
      </c>
      <c r="H32" s="20" t="s">
        <v>151</v>
      </c>
      <c r="I32" s="20">
        <v>32</v>
      </c>
      <c r="J32" s="20" t="s">
        <v>151</v>
      </c>
      <c r="K32" s="20">
        <v>40</v>
      </c>
      <c r="L32" s="20">
        <v>46</v>
      </c>
      <c r="M32" s="20" t="s">
        <v>151</v>
      </c>
      <c r="N32" s="20" t="s">
        <v>151</v>
      </c>
      <c r="O32" s="20" t="s">
        <v>151</v>
      </c>
      <c r="P32" s="20" t="s">
        <v>151</v>
      </c>
      <c r="S32" s="6">
        <v>27</v>
      </c>
      <c r="T32" s="7" t="s">
        <v>57</v>
      </c>
    </row>
    <row r="33" spans="2:20" ht="15.75" thickBot="1" x14ac:dyDescent="0.3">
      <c r="S33" s="6">
        <v>28</v>
      </c>
      <c r="T33" s="7" t="s">
        <v>92</v>
      </c>
    </row>
    <row r="34" spans="2:20" x14ac:dyDescent="0.25">
      <c r="B34" s="3" t="s">
        <v>65</v>
      </c>
      <c r="C34" s="4"/>
      <c r="D34" s="4"/>
      <c r="E34" s="4"/>
      <c r="F34" s="4"/>
      <c r="G34" s="4"/>
      <c r="H34" s="4"/>
      <c r="I34" s="4"/>
      <c r="J34" s="4"/>
      <c r="K34" s="4"/>
      <c r="L34" s="4"/>
      <c r="M34" s="4"/>
      <c r="N34" s="4"/>
      <c r="O34" s="4"/>
      <c r="P34" s="5"/>
      <c r="S34" s="6">
        <v>29</v>
      </c>
      <c r="T34" s="7" t="s">
        <v>93</v>
      </c>
    </row>
    <row r="35" spans="2:20" x14ac:dyDescent="0.25">
      <c r="B35" s="6"/>
      <c r="C35" t="s">
        <v>39</v>
      </c>
      <c r="D35" t="s">
        <v>66</v>
      </c>
      <c r="E35" t="s">
        <v>53</v>
      </c>
      <c r="F35" t="s">
        <v>54</v>
      </c>
      <c r="G35" t="s">
        <v>55</v>
      </c>
      <c r="H35" t="s">
        <v>56</v>
      </c>
      <c r="I35" t="s">
        <v>23</v>
      </c>
      <c r="J35" t="s">
        <v>57</v>
      </c>
      <c r="K35" t="s">
        <v>8</v>
      </c>
      <c r="L35" t="s">
        <v>29</v>
      </c>
      <c r="M35" t="s">
        <v>59</v>
      </c>
      <c r="N35" t="s">
        <v>32</v>
      </c>
      <c r="O35" t="s">
        <v>69</v>
      </c>
      <c r="P35" s="7" t="s">
        <v>36</v>
      </c>
      <c r="S35" s="6">
        <v>30</v>
      </c>
      <c r="T35" s="7" t="s">
        <v>8</v>
      </c>
    </row>
    <row r="36" spans="2:20" x14ac:dyDescent="0.25">
      <c r="B36" s="6"/>
      <c r="C36">
        <v>8</v>
      </c>
      <c r="D36">
        <v>10</v>
      </c>
      <c r="E36">
        <v>12</v>
      </c>
      <c r="F36">
        <v>15</v>
      </c>
      <c r="G36">
        <v>18</v>
      </c>
      <c r="H36">
        <v>21</v>
      </c>
      <c r="I36">
        <v>24</v>
      </c>
      <c r="J36">
        <v>27</v>
      </c>
      <c r="K36">
        <v>30</v>
      </c>
      <c r="L36">
        <v>36</v>
      </c>
      <c r="M36">
        <v>42</v>
      </c>
      <c r="N36">
        <v>48</v>
      </c>
      <c r="O36">
        <v>54</v>
      </c>
      <c r="P36" s="7">
        <v>60</v>
      </c>
      <c r="S36" s="6">
        <v>31</v>
      </c>
      <c r="T36" s="7" t="s">
        <v>94</v>
      </c>
    </row>
    <row r="37" spans="2:20" x14ac:dyDescent="0.25">
      <c r="B37" s="6" t="s">
        <v>61</v>
      </c>
      <c r="P37" s="7"/>
      <c r="S37" s="6">
        <v>32</v>
      </c>
      <c r="T37" s="7" t="s">
        <v>58</v>
      </c>
    </row>
    <row r="38" spans="2:20" x14ac:dyDescent="0.25">
      <c r="B38" s="6" t="s">
        <v>67</v>
      </c>
      <c r="P38" s="7"/>
      <c r="S38" s="6">
        <v>33</v>
      </c>
      <c r="T38" s="7" t="s">
        <v>95</v>
      </c>
    </row>
    <row r="39" spans="2:20" x14ac:dyDescent="0.25">
      <c r="B39" s="6" t="s">
        <v>68</v>
      </c>
      <c r="P39" s="7"/>
      <c r="S39" s="6">
        <v>34</v>
      </c>
      <c r="T39" s="7" t="s">
        <v>96</v>
      </c>
    </row>
    <row r="40" spans="2:20" x14ac:dyDescent="0.25">
      <c r="B40" s="6" t="s">
        <v>62</v>
      </c>
      <c r="P40" s="7"/>
      <c r="S40" s="6">
        <v>35</v>
      </c>
      <c r="T40" s="7" t="s">
        <v>97</v>
      </c>
    </row>
    <row r="41" spans="2:20" x14ac:dyDescent="0.25">
      <c r="B41" s="6" t="s">
        <v>63</v>
      </c>
      <c r="C41">
        <v>7.9</v>
      </c>
      <c r="D41">
        <v>9.8000000000000007</v>
      </c>
      <c r="E41">
        <v>11.7</v>
      </c>
      <c r="F41">
        <v>14.3</v>
      </c>
      <c r="G41">
        <v>17.600000000000001</v>
      </c>
      <c r="H41">
        <v>20.7</v>
      </c>
      <c r="I41">
        <v>23.5</v>
      </c>
      <c r="K41">
        <v>29.5</v>
      </c>
      <c r="L41">
        <v>35.5</v>
      </c>
      <c r="P41" s="7"/>
      <c r="S41" s="6">
        <v>36</v>
      </c>
      <c r="T41" s="7" t="s">
        <v>29</v>
      </c>
    </row>
    <row r="42" spans="2:20" ht="15.75" thickBot="1" x14ac:dyDescent="0.3">
      <c r="B42" s="8" t="s">
        <v>64</v>
      </c>
      <c r="C42" s="9">
        <v>7.9</v>
      </c>
      <c r="D42" s="9">
        <v>9.9</v>
      </c>
      <c r="E42" s="9">
        <v>12.15</v>
      </c>
      <c r="F42" s="9">
        <v>14.98</v>
      </c>
      <c r="G42" s="9">
        <v>18.07</v>
      </c>
      <c r="H42" s="9"/>
      <c r="I42" s="9">
        <v>24.08</v>
      </c>
      <c r="J42" s="9"/>
      <c r="K42" s="9">
        <v>30</v>
      </c>
      <c r="L42" s="9">
        <v>36</v>
      </c>
      <c r="M42" s="9">
        <v>14.4</v>
      </c>
      <c r="N42" s="9">
        <v>47.6</v>
      </c>
      <c r="O42" s="9"/>
      <c r="P42" s="10">
        <v>59.5</v>
      </c>
      <c r="S42" s="6">
        <v>37</v>
      </c>
      <c r="T42" s="7" t="s">
        <v>28</v>
      </c>
    </row>
    <row r="43" spans="2:20" x14ac:dyDescent="0.25">
      <c r="S43" s="6">
        <v>38</v>
      </c>
      <c r="T43" s="7" t="s">
        <v>98</v>
      </c>
    </row>
    <row r="44" spans="2:20" x14ac:dyDescent="0.25">
      <c r="S44" s="6">
        <v>39</v>
      </c>
      <c r="T44" s="7" t="s">
        <v>99</v>
      </c>
    </row>
    <row r="45" spans="2:20" x14ac:dyDescent="0.25">
      <c r="S45" s="6">
        <v>40</v>
      </c>
      <c r="T45" s="7" t="s">
        <v>100</v>
      </c>
    </row>
    <row r="46" spans="2:20" x14ac:dyDescent="0.25">
      <c r="S46" s="6">
        <v>41</v>
      </c>
      <c r="T46" s="7" t="s">
        <v>101</v>
      </c>
    </row>
    <row r="47" spans="2:20" x14ac:dyDescent="0.25">
      <c r="S47" s="6">
        <v>42</v>
      </c>
      <c r="T47" s="7" t="s">
        <v>59</v>
      </c>
    </row>
    <row r="48" spans="2:20" x14ac:dyDescent="0.25">
      <c r="S48" s="6">
        <v>43</v>
      </c>
      <c r="T48" s="7" t="s">
        <v>102</v>
      </c>
    </row>
    <row r="49" spans="19:20" x14ac:dyDescent="0.25">
      <c r="S49" s="6">
        <v>44</v>
      </c>
      <c r="T49" s="7" t="s">
        <v>31</v>
      </c>
    </row>
    <row r="50" spans="19:20" x14ac:dyDescent="0.25">
      <c r="S50" s="6">
        <v>45</v>
      </c>
      <c r="T50" s="7" t="s">
        <v>103</v>
      </c>
    </row>
    <row r="51" spans="19:20" x14ac:dyDescent="0.25">
      <c r="S51" s="6">
        <v>46</v>
      </c>
      <c r="T51" s="7" t="s">
        <v>104</v>
      </c>
    </row>
    <row r="52" spans="19:20" x14ac:dyDescent="0.25">
      <c r="S52" s="6">
        <v>47</v>
      </c>
      <c r="T52" s="7" t="s">
        <v>105</v>
      </c>
    </row>
    <row r="53" spans="19:20" x14ac:dyDescent="0.25">
      <c r="S53" s="6">
        <v>48</v>
      </c>
      <c r="T53" s="7" t="s">
        <v>32</v>
      </c>
    </row>
    <row r="54" spans="19:20" x14ac:dyDescent="0.25">
      <c r="S54" s="6">
        <v>49</v>
      </c>
      <c r="T54" s="7" t="s">
        <v>106</v>
      </c>
    </row>
    <row r="55" spans="19:20" x14ac:dyDescent="0.25">
      <c r="S55" s="6">
        <v>50</v>
      </c>
      <c r="T55" s="7" t="s">
        <v>107</v>
      </c>
    </row>
    <row r="56" spans="19:20" x14ac:dyDescent="0.25">
      <c r="S56" s="6">
        <v>51</v>
      </c>
      <c r="T56" s="7" t="s">
        <v>108</v>
      </c>
    </row>
    <row r="57" spans="19:20" x14ac:dyDescent="0.25">
      <c r="S57" s="6">
        <v>52</v>
      </c>
      <c r="T57" s="7" t="s">
        <v>60</v>
      </c>
    </row>
    <row r="58" spans="19:20" x14ac:dyDescent="0.25">
      <c r="S58" s="6">
        <v>53</v>
      </c>
      <c r="T58" s="7" t="s">
        <v>109</v>
      </c>
    </row>
    <row r="59" spans="19:20" x14ac:dyDescent="0.25">
      <c r="S59" s="6">
        <v>54</v>
      </c>
      <c r="T59" s="7" t="s">
        <v>69</v>
      </c>
    </row>
    <row r="60" spans="19:20" x14ac:dyDescent="0.25">
      <c r="S60" s="6">
        <v>55</v>
      </c>
      <c r="T60" s="7" t="s">
        <v>110</v>
      </c>
    </row>
    <row r="61" spans="19:20" x14ac:dyDescent="0.25">
      <c r="S61" s="6">
        <v>56</v>
      </c>
      <c r="T61" s="7" t="s">
        <v>111</v>
      </c>
    </row>
    <row r="62" spans="19:20" x14ac:dyDescent="0.25">
      <c r="S62" s="6">
        <v>57</v>
      </c>
      <c r="T62" s="7" t="s">
        <v>112</v>
      </c>
    </row>
    <row r="63" spans="19:20" x14ac:dyDescent="0.25">
      <c r="S63" s="6">
        <v>58</v>
      </c>
      <c r="T63" s="7" t="s">
        <v>34</v>
      </c>
    </row>
    <row r="64" spans="19:20" x14ac:dyDescent="0.25">
      <c r="S64" s="6">
        <v>59</v>
      </c>
      <c r="T64" s="7" t="s">
        <v>113</v>
      </c>
    </row>
    <row r="65" spans="19:20" x14ac:dyDescent="0.25">
      <c r="S65" s="6">
        <v>60</v>
      </c>
      <c r="T65" s="7" t="s">
        <v>36</v>
      </c>
    </row>
    <row r="66" spans="19:20" ht="15.75" thickBot="1" x14ac:dyDescent="0.3">
      <c r="S66" s="8">
        <v>61</v>
      </c>
      <c r="T66" s="10" t="s">
        <v>114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EAF83-809F-4366-BE21-FD260B732550}">
  <sheetPr>
    <tabColor theme="1"/>
  </sheetPr>
  <dimension ref="A1:T90"/>
  <sheetViews>
    <sheetView zoomScaleNormal="100" workbookViewId="0">
      <selection activeCell="C90" sqref="C90"/>
    </sheetView>
  </sheetViews>
  <sheetFormatPr defaultRowHeight="15" x14ac:dyDescent="0.25"/>
  <cols>
    <col min="16" max="16" width="11.5703125" bestFit="1" customWidth="1"/>
    <col min="17" max="17" width="9.5703125" bestFit="1" customWidth="1"/>
    <col min="19" max="19" width="12.42578125" customWidth="1"/>
    <col min="20" max="20" width="11.7109375" customWidth="1"/>
  </cols>
  <sheetData>
    <row r="1" spans="1:20" x14ac:dyDescent="0.25">
      <c r="N1" s="38" t="s">
        <v>136</v>
      </c>
      <c r="O1" s="38"/>
      <c r="P1" s="21">
        <v>6</v>
      </c>
      <c r="R1" t="s">
        <v>129</v>
      </c>
      <c r="S1" t="s">
        <v>135</v>
      </c>
      <c r="T1" t="s">
        <v>131</v>
      </c>
    </row>
    <row r="4" spans="1:20" x14ac:dyDescent="0.25">
      <c r="P4" t="s">
        <v>137</v>
      </c>
      <c r="Q4" s="22" t="s">
        <v>130</v>
      </c>
      <c r="R4" s="22" t="s">
        <v>132</v>
      </c>
      <c r="S4" t="s">
        <v>134</v>
      </c>
      <c r="T4" s="22" t="s">
        <v>133</v>
      </c>
    </row>
    <row r="5" spans="1:20" x14ac:dyDescent="0.25">
      <c r="C5" s="29" t="s">
        <v>139</v>
      </c>
      <c r="D5" s="29"/>
      <c r="E5" s="29"/>
      <c r="F5" s="29"/>
      <c r="G5" s="29"/>
      <c r="H5" s="29"/>
      <c r="I5" s="29"/>
      <c r="P5">
        <v>4</v>
      </c>
      <c r="Q5" s="25">
        <f>P5/12</f>
        <v>0.33333333333333331</v>
      </c>
      <c r="R5">
        <f t="shared" ref="R5:R36" si="0">ASIN(Q5/$P$1)</f>
        <v>5.558417328091747E-2</v>
      </c>
      <c r="S5">
        <f>R5*(180/3.14)</f>
        <v>3.1863538823455873</v>
      </c>
      <c r="T5">
        <f t="shared" ref="T5:T36" si="1">2*3.14*$P$1*(S5/360)</f>
        <v>0.33350503968550482</v>
      </c>
    </row>
    <row r="6" spans="1:20" x14ac:dyDescent="0.25">
      <c r="A6" t="s">
        <v>137</v>
      </c>
      <c r="B6" t="s">
        <v>140</v>
      </c>
      <c r="C6" s="29" t="s">
        <v>138</v>
      </c>
      <c r="D6" s="29" t="s">
        <v>9</v>
      </c>
      <c r="E6" s="29" t="s">
        <v>10</v>
      </c>
      <c r="F6" s="29" t="s">
        <v>11</v>
      </c>
      <c r="G6" s="29" t="s">
        <v>12</v>
      </c>
      <c r="H6" s="29" t="s">
        <v>13</v>
      </c>
      <c r="I6" s="29" t="s">
        <v>14</v>
      </c>
      <c r="J6" s="29" t="s">
        <v>15</v>
      </c>
      <c r="K6" s="29" t="s">
        <v>46</v>
      </c>
      <c r="P6">
        <v>5</v>
      </c>
      <c r="Q6" s="25">
        <f t="shared" ref="Q6:Q61" si="2">P6/12</f>
        <v>0.41666666666666669</v>
      </c>
      <c r="R6">
        <f t="shared" si="0"/>
        <v>6.9500382251931475E-2</v>
      </c>
      <c r="S6">
        <f t="shared" ref="S6:S61" si="3">R6*(180/3.14)</f>
        <v>3.9840983456521224</v>
      </c>
      <c r="T6">
        <f t="shared" si="1"/>
        <v>0.4170022935115888</v>
      </c>
    </row>
    <row r="7" spans="1:20" x14ac:dyDescent="0.25">
      <c r="A7" s="29">
        <v>4</v>
      </c>
      <c r="B7" s="30">
        <v>0.33333333333333331</v>
      </c>
      <c r="C7">
        <v>0.33983690945412187</v>
      </c>
      <c r="D7">
        <v>0.33741599479175433</v>
      </c>
      <c r="E7">
        <v>0.33613963845205624</v>
      </c>
      <c r="F7">
        <v>0.3348961584393787</v>
      </c>
      <c r="G7">
        <v>0.3343289735248538</v>
      </c>
      <c r="H7">
        <v>0.3340230430228916</v>
      </c>
      <c r="I7">
        <v>0.33372034644245996</v>
      </c>
      <c r="J7">
        <v>0.33358074205112631</v>
      </c>
      <c r="K7">
        <v>0.33350503968550482</v>
      </c>
      <c r="P7">
        <v>6</v>
      </c>
      <c r="Q7" s="25">
        <f t="shared" si="2"/>
        <v>0.5</v>
      </c>
      <c r="R7">
        <f t="shared" si="0"/>
        <v>8.343008661061499E-2</v>
      </c>
      <c r="S7">
        <f t="shared" si="3"/>
        <v>4.7826164299078657</v>
      </c>
      <c r="T7">
        <f t="shared" si="1"/>
        <v>0.50058051966368988</v>
      </c>
    </row>
    <row r="8" spans="1:20" x14ac:dyDescent="0.25">
      <c r="A8" s="29">
        <v>5</v>
      </c>
      <c r="B8" s="30">
        <v>0.41666666666666669</v>
      </c>
      <c r="C8">
        <v>0.42977543130452772</v>
      </c>
      <c r="D8">
        <v>0.42479613681765249</v>
      </c>
      <c r="E8">
        <v>0.42222010984626734</v>
      </c>
      <c r="F8">
        <v>0.4197411845254756</v>
      </c>
      <c r="G8">
        <v>0.41862019804922335</v>
      </c>
      <c r="H8">
        <v>0.41801802227330859</v>
      </c>
      <c r="I8">
        <v>0.41742389035381511</v>
      </c>
      <c r="J8">
        <v>0.41715043305307498</v>
      </c>
      <c r="K8">
        <v>0.4170022935115888</v>
      </c>
      <c r="P8">
        <v>7</v>
      </c>
      <c r="Q8" s="25">
        <f t="shared" si="2"/>
        <v>0.58333333333333337</v>
      </c>
      <c r="R8">
        <f t="shared" si="0"/>
        <v>9.7376037381117497E-2</v>
      </c>
      <c r="S8">
        <f t="shared" si="3"/>
        <v>5.5820658371341239</v>
      </c>
      <c r="T8">
        <f t="shared" si="1"/>
        <v>0.58425622428670498</v>
      </c>
    </row>
    <row r="9" spans="1:20" x14ac:dyDescent="0.25">
      <c r="A9" s="29">
        <v>6</v>
      </c>
      <c r="B9" s="30">
        <v>0.5</v>
      </c>
      <c r="C9">
        <v>0.52359877559829893</v>
      </c>
      <c r="D9">
        <v>0.51439605758436002</v>
      </c>
      <c r="E9">
        <v>0.50975536418118284</v>
      </c>
      <c r="F9">
        <v>0.50536051028415729</v>
      </c>
      <c r="G9">
        <v>0.50339480197582709</v>
      </c>
      <c r="H9">
        <v>0.50234423765906799</v>
      </c>
      <c r="I9">
        <v>0.50131132467226136</v>
      </c>
      <c r="J9">
        <v>0.50083710580779905</v>
      </c>
      <c r="K9">
        <v>0.50058051966368988</v>
      </c>
      <c r="P9">
        <v>8</v>
      </c>
      <c r="Q9" s="25">
        <f t="shared" si="2"/>
        <v>0.66666666666666663</v>
      </c>
      <c r="R9">
        <f t="shared" si="0"/>
        <v>0.11134101434096388</v>
      </c>
      <c r="S9">
        <f t="shared" si="3"/>
        <v>6.382605917634872</v>
      </c>
      <c r="T9">
        <f t="shared" si="1"/>
        <v>0.66804608604578319</v>
      </c>
    </row>
    <row r="10" spans="1:20" x14ac:dyDescent="0.25">
      <c r="A10" s="29">
        <v>7</v>
      </c>
      <c r="B10" s="30">
        <v>0.58333333333333337</v>
      </c>
      <c r="C10">
        <v>0.62282658541200298</v>
      </c>
      <c r="D10">
        <v>0.60689765286948893</v>
      </c>
      <c r="E10">
        <v>0.59913785982089196</v>
      </c>
      <c r="F10">
        <v>0.59193760671786266</v>
      </c>
      <c r="G10">
        <v>0.58876059180199958</v>
      </c>
      <c r="H10">
        <v>0.5870731585957184</v>
      </c>
      <c r="I10">
        <v>0.58542103577919935</v>
      </c>
      <c r="J10">
        <v>0.58466480731189219</v>
      </c>
      <c r="K10">
        <v>0.58425622428670498</v>
      </c>
      <c r="P10">
        <v>9</v>
      </c>
      <c r="Q10" s="25">
        <f t="shared" si="2"/>
        <v>0.75</v>
      </c>
      <c r="R10">
        <f t="shared" si="0"/>
        <v>0.12532783116806537</v>
      </c>
      <c r="S10">
        <f t="shared" si="3"/>
        <v>7.1843979650483325</v>
      </c>
      <c r="T10">
        <f t="shared" si="1"/>
        <v>0.75196698700839204</v>
      </c>
    </row>
    <row r="11" spans="1:20" x14ac:dyDescent="0.25">
      <c r="A11" s="29">
        <v>8</v>
      </c>
      <c r="B11" s="30">
        <v>0.66666666666666663</v>
      </c>
      <c r="C11">
        <v>0.72972765622696623</v>
      </c>
      <c r="D11">
        <v>0.70317030567981964</v>
      </c>
      <c r="E11">
        <v>0.69083098752198357</v>
      </c>
      <c r="F11">
        <v>0.67967381890824374</v>
      </c>
      <c r="G11">
        <v>0.67483198958350865</v>
      </c>
      <c r="H11">
        <v>0.67227927690411249</v>
      </c>
      <c r="I11">
        <v>0.6697923168787574</v>
      </c>
      <c r="J11">
        <v>0.6686579470497076</v>
      </c>
      <c r="K11">
        <v>0.66804608604578319</v>
      </c>
      <c r="P11">
        <v>10</v>
      </c>
      <c r="Q11" s="25">
        <f t="shared" si="2"/>
        <v>0.83333333333333337</v>
      </c>
      <c r="R11">
        <f t="shared" si="0"/>
        <v>0.13933934075776955</v>
      </c>
      <c r="S11">
        <f t="shared" si="3"/>
        <v>7.9876055211460244</v>
      </c>
      <c r="T11">
        <f t="shared" si="1"/>
        <v>0.83603604454661717</v>
      </c>
    </row>
    <row r="12" spans="1:20" x14ac:dyDescent="0.25">
      <c r="A12" s="29">
        <v>9</v>
      </c>
      <c r="B12" s="30">
        <v>0.75</v>
      </c>
      <c r="C12">
        <v>0.848062078981481</v>
      </c>
      <c r="D12">
        <v>0.80437638599160544</v>
      </c>
      <c r="E12">
        <v>0.78539816339744839</v>
      </c>
      <c r="F12">
        <v>0.76879354899127816</v>
      </c>
      <c r="G12">
        <v>0.76173163503849384</v>
      </c>
      <c r="H12">
        <v>0.75804076542623589</v>
      </c>
      <c r="I12">
        <v>0.75446554470161642</v>
      </c>
      <c r="J12">
        <v>0.75284136388343026</v>
      </c>
      <c r="K12">
        <v>0.75196698700839204</v>
      </c>
      <c r="P12">
        <v>11</v>
      </c>
      <c r="Q12" s="25">
        <f t="shared" si="2"/>
        <v>0.91666666666666663</v>
      </c>
      <c r="R12">
        <f t="shared" si="0"/>
        <v>0.1533784407388924</v>
      </c>
      <c r="S12">
        <f t="shared" si="3"/>
        <v>8.7923946920384175</v>
      </c>
      <c r="T12">
        <f t="shared" si="1"/>
        <v>0.92027064443335438</v>
      </c>
    </row>
    <row r="13" spans="1:20" x14ac:dyDescent="0.25">
      <c r="A13" s="29">
        <v>10</v>
      </c>
      <c r="B13" s="30">
        <v>0.83333333333333337</v>
      </c>
      <c r="C13">
        <v>0.9851107833377456</v>
      </c>
      <c r="D13">
        <v>0.91215957028370809</v>
      </c>
      <c r="E13">
        <v>0.88354645532441056</v>
      </c>
      <c r="F13">
        <v>0.85955086260905544</v>
      </c>
      <c r="G13">
        <v>0.84959227363530498</v>
      </c>
      <c r="H13">
        <v>0.84444021969253469</v>
      </c>
      <c r="I13">
        <v>0.83948236905095119</v>
      </c>
      <c r="J13">
        <v>0.83724039609844669</v>
      </c>
      <c r="K13">
        <v>0.83603604454661717</v>
      </c>
      <c r="P13">
        <v>12</v>
      </c>
      <c r="Q13" s="25">
        <f t="shared" si="2"/>
        <v>1</v>
      </c>
      <c r="R13">
        <f t="shared" si="0"/>
        <v>0.16744807921968935</v>
      </c>
      <c r="S13">
        <f t="shared" si="3"/>
        <v>9.5989344775618086</v>
      </c>
      <c r="T13">
        <f t="shared" si="1"/>
        <v>1.004688475318136</v>
      </c>
    </row>
    <row r="14" spans="1:20" x14ac:dyDescent="0.25">
      <c r="A14" s="29">
        <v>11</v>
      </c>
      <c r="B14" s="30">
        <v>0.91666666666666663</v>
      </c>
      <c r="C14">
        <v>1.1596584644725485</v>
      </c>
      <c r="D14">
        <v>1.0290149714073447</v>
      </c>
      <c r="E14" s="28">
        <v>0.98619533457246544</v>
      </c>
      <c r="F14">
        <v>0.9522381218235928</v>
      </c>
      <c r="G14">
        <v>0.93855901995259849</v>
      </c>
      <c r="H14">
        <v>0.93156550399730331</v>
      </c>
      <c r="I14">
        <v>0.92488591782939511</v>
      </c>
      <c r="J14">
        <v>0.92188095517982482</v>
      </c>
      <c r="K14">
        <v>0.92027064443335438</v>
      </c>
      <c r="P14">
        <v>13</v>
      </c>
      <c r="Q14" s="25">
        <f t="shared" si="2"/>
        <v>1.0833333333333333</v>
      </c>
      <c r="R14">
        <f t="shared" si="0"/>
        <v>0.18155126079708464</v>
      </c>
      <c r="S14">
        <f t="shared" si="3"/>
        <v>10.407397115756444</v>
      </c>
      <c r="T14">
        <f t="shared" si="1"/>
        <v>1.0893075647825079</v>
      </c>
    </row>
    <row r="15" spans="1:20" x14ac:dyDescent="0.25">
      <c r="A15" s="29">
        <v>12</v>
      </c>
      <c r="B15" s="30">
        <v>1</v>
      </c>
      <c r="C15">
        <v>1.5707963267948966</v>
      </c>
      <c r="D15">
        <v>1.1591190225020154</v>
      </c>
      <c r="E15">
        <v>1.0945914843404494</v>
      </c>
      <c r="F15">
        <v>1.0471975511965979</v>
      </c>
      <c r="G15">
        <v>1.02879211516872</v>
      </c>
      <c r="H15">
        <v>1.0195107283623657</v>
      </c>
      <c r="I15">
        <v>1.0107210205683146</v>
      </c>
      <c r="J15">
        <v>1.0067896039516542</v>
      </c>
      <c r="K15">
        <v>1.004688475318136</v>
      </c>
      <c r="P15">
        <v>14</v>
      </c>
      <c r="Q15" s="25">
        <f t="shared" si="2"/>
        <v>1.1666666666666667</v>
      </c>
      <c r="R15">
        <f t="shared" si="0"/>
        <v>0.1956910528652395</v>
      </c>
      <c r="S15">
        <f t="shared" si="3"/>
        <v>11.217958444504173</v>
      </c>
      <c r="T15">
        <f t="shared" si="1"/>
        <v>1.1741463171914368</v>
      </c>
    </row>
    <row r="16" spans="1:20" x14ac:dyDescent="0.25">
      <c r="A16" s="29">
        <v>13</v>
      </c>
      <c r="B16" s="30">
        <v>1.0833333333333333</v>
      </c>
      <c r="C16" t="e">
        <v>#NUM!</v>
      </c>
      <c r="D16">
        <v>1.3106018812360598</v>
      </c>
      <c r="E16">
        <v>1.2105147455955976</v>
      </c>
      <c r="F16">
        <v>1.1448371441856404</v>
      </c>
      <c r="G16">
        <v>1.120470339948578</v>
      </c>
      <c r="H16">
        <v>1.1083773896993094</v>
      </c>
      <c r="I16">
        <v>1.09703445395452</v>
      </c>
      <c r="J16">
        <v>1.0919936397779981</v>
      </c>
      <c r="K16">
        <v>1.0893075647825079</v>
      </c>
      <c r="P16">
        <v>15</v>
      </c>
      <c r="Q16" s="25">
        <f t="shared" si="2"/>
        <v>1.25</v>
      </c>
      <c r="R16">
        <f t="shared" si="0"/>
        <v>0.20987059226273777</v>
      </c>
      <c r="S16">
        <f t="shared" si="3"/>
        <v>12.030798282577324</v>
      </c>
      <c r="T16">
        <f t="shared" si="1"/>
        <v>1.2592235535764267</v>
      </c>
    </row>
    <row r="17" spans="1:20" x14ac:dyDescent="0.25">
      <c r="A17" s="29">
        <v>14</v>
      </c>
      <c r="B17" s="30">
        <v>1.1666666666666667</v>
      </c>
      <c r="C17" t="e">
        <v>#NUM!</v>
      </c>
      <c r="D17">
        <v>1.5044853827963245</v>
      </c>
      <c r="E17" s="28">
        <v>1.3366837618299787</v>
      </c>
      <c r="F17">
        <v>1.245653170824006</v>
      </c>
      <c r="G17">
        <v>1.2137953057389779</v>
      </c>
      <c r="H17">
        <v>1.1982757196417839</v>
      </c>
      <c r="I17">
        <v>1.1838752134357253</v>
      </c>
      <c r="J17">
        <v>1.1775211836039992</v>
      </c>
      <c r="K17">
        <v>1.1741463171914368</v>
      </c>
      <c r="P17">
        <v>16</v>
      </c>
      <c r="Q17" s="25">
        <f t="shared" si="2"/>
        <v>1.3333333333333333</v>
      </c>
      <c r="R17">
        <f t="shared" si="0"/>
        <v>0.22409309230137084</v>
      </c>
      <c r="S17">
        <f t="shared" si="3"/>
        <v>12.846100832562659</v>
      </c>
      <c r="T17">
        <f t="shared" si="1"/>
        <v>1.344558553808225</v>
      </c>
    </row>
    <row r="18" spans="1:20" x14ac:dyDescent="0.25">
      <c r="A18" s="29">
        <v>15</v>
      </c>
      <c r="B18" s="30">
        <v>1.25</v>
      </c>
      <c r="C18" t="e">
        <v>#NUM!</v>
      </c>
      <c r="D18">
        <v>1.9634954084936207</v>
      </c>
      <c r="E18">
        <v>1.4776661750066182</v>
      </c>
      <c r="F18">
        <v>1.3502630658740633</v>
      </c>
      <c r="G18">
        <v>1.3089969389957474</v>
      </c>
      <c r="H18">
        <v>1.2893262939135832</v>
      </c>
      <c r="I18">
        <v>1.2712948157115231</v>
      </c>
      <c r="J18">
        <v>1.2634012757103932</v>
      </c>
      <c r="K18">
        <v>1.2592235535764267</v>
      </c>
      <c r="P18">
        <v>17</v>
      </c>
      <c r="Q18" s="25">
        <f t="shared" si="2"/>
        <v>1.4166666666666667</v>
      </c>
      <c r="R18">
        <f t="shared" si="0"/>
        <v>0.23836185022377274</v>
      </c>
      <c r="S18">
        <f t="shared" si="3"/>
        <v>13.664055108369137</v>
      </c>
      <c r="T18">
        <f t="shared" si="1"/>
        <v>1.4301711013426364</v>
      </c>
    </row>
    <row r="19" spans="1:20" x14ac:dyDescent="0.25">
      <c r="A19" s="29">
        <v>16</v>
      </c>
      <c r="B19" s="30">
        <v>1.3333333333333333</v>
      </c>
      <c r="C19" t="e">
        <v>#NUM!</v>
      </c>
      <c r="D19" t="e">
        <v>#NUM!</v>
      </c>
      <c r="E19">
        <v>1.6423711157017196</v>
      </c>
      <c r="F19">
        <v>1.4594553124539325</v>
      </c>
      <c r="G19">
        <v>1.4063406113596393</v>
      </c>
      <c r="H19">
        <v>1.3816619750439671</v>
      </c>
      <c r="I19">
        <v>1.3593476378164875</v>
      </c>
      <c r="J19">
        <v>1.3496639791670173</v>
      </c>
      <c r="K19">
        <v>1.344558553808225</v>
      </c>
      <c r="P19">
        <v>18</v>
      </c>
      <c r="Q19" s="25">
        <f t="shared" si="2"/>
        <v>1.5</v>
      </c>
      <c r="R19">
        <f t="shared" si="0"/>
        <v>0.25268025514207865</v>
      </c>
      <c r="S19">
        <f t="shared" si="3"/>
        <v>14.484855390310241</v>
      </c>
      <c r="T19">
        <f t="shared" si="1"/>
        <v>1.5160815308524718</v>
      </c>
    </row>
    <row r="20" spans="1:20" x14ac:dyDescent="0.25">
      <c r="A20" s="29">
        <v>17</v>
      </c>
      <c r="B20" s="30">
        <v>1.4166666666666667</v>
      </c>
      <c r="C20" t="e">
        <v>#NUM!</v>
      </c>
      <c r="D20" t="e">
        <v>#NUM!</v>
      </c>
      <c r="E20" s="28">
        <v>1.8538502525332774</v>
      </c>
      <c r="F20">
        <v>1.574268555994198</v>
      </c>
      <c r="G20">
        <v>1.5061365834624763</v>
      </c>
      <c r="H20">
        <v>1.4754302836963338</v>
      </c>
      <c r="I20">
        <v>1.4480912996218887</v>
      </c>
      <c r="J20">
        <v>1.4363404921039682</v>
      </c>
      <c r="K20">
        <v>1.4301711013426364</v>
      </c>
      <c r="P20">
        <v>19</v>
      </c>
      <c r="Q20" s="25">
        <f t="shared" si="2"/>
        <v>1.5833333333333333</v>
      </c>
      <c r="R20">
        <f t="shared" si="0"/>
        <v>0.26705179651545063</v>
      </c>
      <c r="S20">
        <f t="shared" si="3"/>
        <v>15.308701711076788</v>
      </c>
      <c r="T20">
        <f t="shared" si="1"/>
        <v>1.6023107790927038</v>
      </c>
    </row>
    <row r="21" spans="1:20" x14ac:dyDescent="0.25">
      <c r="A21" s="29">
        <v>18</v>
      </c>
      <c r="B21" s="30">
        <v>1.5</v>
      </c>
      <c r="C21" t="e">
        <v>#NUM!</v>
      </c>
      <c r="D21" t="e">
        <v>#NUM!</v>
      </c>
      <c r="E21">
        <v>2.3561944901923448</v>
      </c>
      <c r="F21">
        <v>1.696124157962962</v>
      </c>
      <c r="G21">
        <v>1.6087527719832109</v>
      </c>
      <c r="H21">
        <v>1.5707963267948968</v>
      </c>
      <c r="I21">
        <v>1.5375870979825563</v>
      </c>
      <c r="J21">
        <v>1.5234632700769877</v>
      </c>
      <c r="K21">
        <v>1.5160815308524718</v>
      </c>
      <c r="P21">
        <v>20</v>
      </c>
      <c r="Q21" s="25">
        <f t="shared" si="2"/>
        <v>1.6666666666666667</v>
      </c>
      <c r="R21">
        <f t="shared" si="0"/>
        <v>0.28148007323084495</v>
      </c>
      <c r="S21">
        <f t="shared" si="3"/>
        <v>16.135800376290472</v>
      </c>
      <c r="T21">
        <f t="shared" si="1"/>
        <v>1.6888804393850694</v>
      </c>
    </row>
    <row r="22" spans="1:20" x14ac:dyDescent="0.25">
      <c r="A22" s="29">
        <v>19</v>
      </c>
      <c r="B22" s="30">
        <v>1.5833333333333333</v>
      </c>
      <c r="C22" t="e">
        <v>#NUM!</v>
      </c>
      <c r="D22" t="e">
        <v>#NUM!</v>
      </c>
      <c r="E22" t="e">
        <v>#NUM!</v>
      </c>
      <c r="F22">
        <v>1.8270643470987606</v>
      </c>
      <c r="G22">
        <v>1.7146324115467768</v>
      </c>
      <c r="H22">
        <v>1.667946457561627</v>
      </c>
      <c r="I22">
        <v>1.6279005025150279</v>
      </c>
      <c r="J22">
        <v>1.6110661599911928</v>
      </c>
      <c r="K22">
        <v>1.6023107790927038</v>
      </c>
      <c r="P22">
        <v>21</v>
      </c>
      <c r="Q22" s="25">
        <f t="shared" si="2"/>
        <v>1.75</v>
      </c>
      <c r="R22">
        <f t="shared" si="0"/>
        <v>0.29596880335893133</v>
      </c>
      <c r="S22">
        <f t="shared" si="3"/>
        <v>16.966364523760394</v>
      </c>
      <c r="T22">
        <f t="shared" si="1"/>
        <v>1.7758128201535879</v>
      </c>
    </row>
    <row r="23" spans="1:20" x14ac:dyDescent="0.25">
      <c r="A23" s="29">
        <v>20</v>
      </c>
      <c r="B23" s="30">
        <v>1.6666666666666667</v>
      </c>
      <c r="C23" t="e">
        <v>#NUM!</v>
      </c>
      <c r="D23" t="e">
        <v>#NUM!</v>
      </c>
      <c r="E23" s="28" t="e">
        <v>#NUM!</v>
      </c>
      <c r="F23">
        <v>1.9702215666754912</v>
      </c>
      <c r="G23">
        <v>1.8243191405674162</v>
      </c>
      <c r="H23">
        <v>1.7670929106488211</v>
      </c>
      <c r="I23">
        <v>1.7191017252181109</v>
      </c>
      <c r="J23">
        <v>1.69918454727061</v>
      </c>
      <c r="K23">
        <v>1.6888804393850694</v>
      </c>
      <c r="P23">
        <v>22</v>
      </c>
      <c r="Q23" s="25">
        <f t="shared" si="2"/>
        <v>1.8333333333333333</v>
      </c>
      <c r="R23">
        <f t="shared" si="0"/>
        <v>0.31052183466576777</v>
      </c>
      <c r="S23">
        <f t="shared" si="3"/>
        <v>17.80061472606312</v>
      </c>
      <c r="T23">
        <f t="shared" si="1"/>
        <v>1.8631310079946066</v>
      </c>
    </row>
    <row r="24" spans="1:20" x14ac:dyDescent="0.25">
      <c r="A24" s="29">
        <v>21</v>
      </c>
      <c r="B24" s="30">
        <v>1.75</v>
      </c>
      <c r="C24" t="e">
        <v>#NUM!</v>
      </c>
      <c r="D24" t="e">
        <v>#NUM!</v>
      </c>
      <c r="E24" t="e">
        <v>#NUM!</v>
      </c>
      <c r="F24">
        <v>2.1308716330214788</v>
      </c>
      <c r="G24">
        <v>1.9384937415268824</v>
      </c>
      <c r="H24">
        <v>1.8684797562360089</v>
      </c>
      <c r="I24">
        <v>1.8112663789797021</v>
      </c>
      <c r="J24">
        <v>1.7878555182275511</v>
      </c>
      <c r="K24">
        <v>1.7758128201535879</v>
      </c>
      <c r="P24">
        <v>23</v>
      </c>
      <c r="Q24" s="25">
        <f t="shared" si="2"/>
        <v>1.9166666666666667</v>
      </c>
      <c r="R24">
        <f t="shared" si="0"/>
        <v>0.32514315597089077</v>
      </c>
      <c r="S24">
        <f t="shared" si="3"/>
        <v>18.638779641643421</v>
      </c>
      <c r="T24">
        <f t="shared" si="1"/>
        <v>1.9508589358253448</v>
      </c>
    </row>
    <row r="25" spans="1:20" x14ac:dyDescent="0.25">
      <c r="A25" s="29">
        <v>22</v>
      </c>
      <c r="B25" s="30">
        <v>1.8333333333333333</v>
      </c>
      <c r="C25" t="e">
        <v>#NUM!</v>
      </c>
      <c r="D25" t="e">
        <v>#NUM!</v>
      </c>
      <c r="E25" t="e">
        <v>#NUM!</v>
      </c>
      <c r="F25">
        <v>2.319316928945097</v>
      </c>
      <c r="G25">
        <v>2.0580299428146893</v>
      </c>
      <c r="H25">
        <v>1.9723906691449309</v>
      </c>
      <c r="I25">
        <v>1.9044762436471856</v>
      </c>
      <c r="J25">
        <v>1.877118039905197</v>
      </c>
      <c r="K25">
        <v>1.8631310079946066</v>
      </c>
      <c r="P25">
        <v>24</v>
      </c>
      <c r="Q25" s="25">
        <f t="shared" si="2"/>
        <v>2</v>
      </c>
      <c r="R25">
        <f t="shared" si="0"/>
        <v>0.33983690945412193</v>
      </c>
      <c r="S25">
        <f t="shared" si="3"/>
        <v>19.481096720299981</v>
      </c>
      <c r="T25">
        <f t="shared" si="1"/>
        <v>2.0390214567247313</v>
      </c>
    </row>
    <row r="26" spans="1:20" x14ac:dyDescent="0.25">
      <c r="A26" s="29">
        <v>23</v>
      </c>
      <c r="B26" s="30">
        <v>1.9166666666666667</v>
      </c>
      <c r="C26" t="e">
        <v>#NUM!</v>
      </c>
      <c r="D26" t="e">
        <v>#NUM!</v>
      </c>
      <c r="E26" s="28" t="e">
        <v>#NUM!</v>
      </c>
      <c r="F26">
        <v>2.5622186655955543</v>
      </c>
      <c r="G26">
        <v>2.1840829828816615</v>
      </c>
      <c r="H26">
        <v>2.0791592447399179</v>
      </c>
      <c r="I26">
        <v>1.9988201630374574</v>
      </c>
      <c r="J26">
        <v>1.9670131600504723</v>
      </c>
      <c r="K26">
        <v>1.9508589358253448</v>
      </c>
      <c r="P26">
        <v>25</v>
      </c>
      <c r="Q26" s="25">
        <f t="shared" si="2"/>
        <v>2.0833333333333335</v>
      </c>
      <c r="R26">
        <f t="shared" si="0"/>
        <v>0.35460740402691315</v>
      </c>
      <c r="S26">
        <f t="shared" si="3"/>
        <v>20.327812969695657</v>
      </c>
      <c r="T26">
        <f t="shared" si="1"/>
        <v>2.1276444241614789</v>
      </c>
    </row>
    <row r="27" spans="1:20" x14ac:dyDescent="0.25">
      <c r="A27" s="29">
        <v>24</v>
      </c>
      <c r="B27" s="30">
        <v>2</v>
      </c>
      <c r="C27" t="e">
        <v>#NUM!</v>
      </c>
      <c r="D27" t="e">
        <v>#NUM!</v>
      </c>
      <c r="E27" t="e">
        <v>#NUM!</v>
      </c>
      <c r="F27">
        <v>3.1415926535897931</v>
      </c>
      <c r="G27">
        <v>2.3182380450040307</v>
      </c>
      <c r="H27">
        <v>2.1891829686808988</v>
      </c>
      <c r="I27">
        <v>2.0943951023931957</v>
      </c>
      <c r="J27">
        <v>2.0575842303374401</v>
      </c>
      <c r="K27">
        <v>2.0390214567247313</v>
      </c>
      <c r="P27">
        <v>26</v>
      </c>
      <c r="Q27" s="25">
        <f t="shared" si="2"/>
        <v>2.1666666666666665</v>
      </c>
      <c r="R27">
        <f t="shared" si="0"/>
        <v>0.36945912989976981</v>
      </c>
      <c r="S27">
        <f t="shared" si="3"/>
        <v>21.179185790432662</v>
      </c>
      <c r="T27">
        <f t="shared" si="1"/>
        <v>2.2167547793986189</v>
      </c>
    </row>
    <row r="28" spans="1:20" x14ac:dyDescent="0.25">
      <c r="A28" s="29">
        <v>25</v>
      </c>
      <c r="B28" s="30">
        <v>2.0833333333333335</v>
      </c>
      <c r="C28" t="e">
        <v>#NUM!</v>
      </c>
      <c r="D28" t="e">
        <v>#NUM!</v>
      </c>
      <c r="E28" t="e">
        <v>#NUM!</v>
      </c>
      <c r="F28" t="e">
        <v>#NUM!</v>
      </c>
      <c r="G28">
        <v>2.4627769583443642</v>
      </c>
      <c r="H28">
        <v>2.302942564224093</v>
      </c>
      <c r="I28">
        <v>2.191307403867798</v>
      </c>
      <c r="J28">
        <v>2.1488771565226386</v>
      </c>
      <c r="K28">
        <v>2.1276444241614789</v>
      </c>
      <c r="P28">
        <v>27</v>
      </c>
      <c r="Q28" s="25">
        <f t="shared" si="2"/>
        <v>2.25</v>
      </c>
      <c r="R28">
        <f t="shared" si="0"/>
        <v>0.38439677449563908</v>
      </c>
      <c r="S28">
        <f t="shared" si="3"/>
        <v>22.035483888285043</v>
      </c>
      <c r="T28">
        <f t="shared" si="1"/>
        <v>2.3063806469738344</v>
      </c>
    </row>
    <row r="29" spans="1:20" x14ac:dyDescent="0.25">
      <c r="A29" s="29">
        <v>26</v>
      </c>
      <c r="B29" s="30">
        <v>2.1666666666666665</v>
      </c>
      <c r="C29" t="e">
        <v>#NUM!</v>
      </c>
      <c r="D29" t="e">
        <v>#NUM!</v>
      </c>
      <c r="E29" t="e">
        <v>#NUM!</v>
      </c>
      <c r="F29" t="e">
        <v>#NUM!</v>
      </c>
      <c r="G29">
        <v>2.6212037624721196</v>
      </c>
      <c r="H29">
        <v>2.4210294911911951</v>
      </c>
      <c r="I29">
        <v>2.2896742883712808</v>
      </c>
      <c r="J29">
        <v>2.2409406798971561</v>
      </c>
      <c r="K29">
        <v>2.2167547793986189</v>
      </c>
      <c r="P29">
        <v>28</v>
      </c>
      <c r="Q29" s="25">
        <f t="shared" si="2"/>
        <v>2.3333333333333335</v>
      </c>
      <c r="R29">
        <f t="shared" si="0"/>
        <v>0.3994252398805947</v>
      </c>
      <c r="S29">
        <f t="shared" si="3"/>
        <v>22.896988273409885</v>
      </c>
      <c r="T29">
        <f t="shared" si="1"/>
        <v>2.3965514392835678</v>
      </c>
    </row>
    <row r="30" spans="1:20" x14ac:dyDescent="0.25">
      <c r="A30" s="29">
        <v>27</v>
      </c>
      <c r="B30" s="30">
        <v>2.25</v>
      </c>
      <c r="C30" t="e">
        <v>#NUM!</v>
      </c>
      <c r="D30" t="e">
        <v>#NUM!</v>
      </c>
      <c r="E30" t="e">
        <v>#NUM!</v>
      </c>
      <c r="F30" t="e">
        <v>#NUM!</v>
      </c>
      <c r="G30">
        <v>2.7994237874965853</v>
      </c>
      <c r="H30">
        <v>2.544186236944443</v>
      </c>
      <c r="I30">
        <v>2.3896256665814009</v>
      </c>
      <c r="J30">
        <v>2.3338266952364819</v>
      </c>
      <c r="K30">
        <v>2.3063806469738344</v>
      </c>
      <c r="P30">
        <v>29</v>
      </c>
      <c r="Q30" s="25">
        <f t="shared" si="2"/>
        <v>2.4166666666666665</v>
      </c>
      <c r="R30">
        <f t="shared" si="0"/>
        <v>0.41454966190832304</v>
      </c>
      <c r="S30">
        <f t="shared" si="3"/>
        <v>23.763993357801954</v>
      </c>
      <c r="T30">
        <f t="shared" si="1"/>
        <v>2.4872979714499381</v>
      </c>
    </row>
    <row r="31" spans="1:20" x14ac:dyDescent="0.25">
      <c r="A31" s="29">
        <v>28</v>
      </c>
      <c r="B31" s="30">
        <v>2.3333333333333335</v>
      </c>
      <c r="C31" t="e">
        <v>#NUM!</v>
      </c>
      <c r="D31" t="e">
        <v>#NUM!</v>
      </c>
      <c r="E31" t="e">
        <v>#NUM!</v>
      </c>
      <c r="F31" t="e">
        <v>#NUM!</v>
      </c>
      <c r="G31">
        <v>3.008970765592649</v>
      </c>
      <c r="H31">
        <v>2.6733675236599574</v>
      </c>
      <c r="I31">
        <v>2.4913063416480119</v>
      </c>
      <c r="J31">
        <v>2.4275906114779557</v>
      </c>
      <c r="K31">
        <v>2.3965514392835678</v>
      </c>
      <c r="P31">
        <v>30</v>
      </c>
      <c r="Q31" s="25">
        <f t="shared" si="2"/>
        <v>2.5</v>
      </c>
      <c r="R31">
        <f t="shared" si="0"/>
        <v>0.42977543130452772</v>
      </c>
      <c r="S31">
        <f t="shared" si="3"/>
        <v>24.636808163953816</v>
      </c>
      <c r="T31">
        <f t="shared" si="1"/>
        <v>2.5786525878271664</v>
      </c>
    </row>
    <row r="32" spans="1:20" x14ac:dyDescent="0.25">
      <c r="A32" s="29">
        <v>29</v>
      </c>
      <c r="B32" s="30">
        <v>2.4166666666666665</v>
      </c>
      <c r="C32" t="e">
        <v>#NUM!</v>
      </c>
      <c r="D32" t="e">
        <v>#NUM!</v>
      </c>
      <c r="E32" t="e">
        <v>#NUM!</v>
      </c>
      <c r="F32" t="e">
        <v>#NUM!</v>
      </c>
      <c r="G32">
        <v>3.2796869619716875</v>
      </c>
      <c r="H32">
        <v>2.8098374579125664</v>
      </c>
      <c r="I32">
        <v>2.5948787133623124</v>
      </c>
      <c r="J32">
        <v>2.522291762628678</v>
      </c>
      <c r="K32">
        <v>2.4872979714499381</v>
      </c>
      <c r="P32">
        <v>31</v>
      </c>
      <c r="Q32" s="25">
        <f t="shared" si="2"/>
        <v>2.5833333333333335</v>
      </c>
      <c r="R32">
        <f t="shared" si="0"/>
        <v>0.44510821695234565</v>
      </c>
      <c r="S32">
        <f t="shared" si="3"/>
        <v>25.515757659688603</v>
      </c>
      <c r="T32">
        <f t="shared" si="1"/>
        <v>2.6706493017140733</v>
      </c>
    </row>
    <row r="33" spans="1:20" x14ac:dyDescent="0.25">
      <c r="A33" s="29">
        <v>30</v>
      </c>
      <c r="B33" s="30">
        <v>2.5</v>
      </c>
      <c r="C33" t="e">
        <v>#NUM!</v>
      </c>
      <c r="D33" t="e">
        <v>#NUM!</v>
      </c>
      <c r="E33" t="e">
        <v>#NUM!</v>
      </c>
      <c r="F33" t="e">
        <v>#NUM!</v>
      </c>
      <c r="G33">
        <v>3.9269908169872414</v>
      </c>
      <c r="H33">
        <v>2.9553323500132365</v>
      </c>
      <c r="I33">
        <v>2.7005261317481266</v>
      </c>
      <c r="J33">
        <v>2.6179938779914949</v>
      </c>
      <c r="K33">
        <v>2.5786525878271664</v>
      </c>
      <c r="P33">
        <v>32</v>
      </c>
      <c r="Q33" s="25">
        <f t="shared" si="2"/>
        <v>2.6666666666666665</v>
      </c>
      <c r="R33">
        <f t="shared" si="0"/>
        <v>0.46055399168132238</v>
      </c>
      <c r="S33">
        <f t="shared" si="3"/>
        <v>26.401184236508925</v>
      </c>
      <c r="T33">
        <f t="shared" si="1"/>
        <v>2.7633239500879343</v>
      </c>
    </row>
    <row r="34" spans="1:20" x14ac:dyDescent="0.25">
      <c r="A34" s="29">
        <v>31</v>
      </c>
      <c r="B34" s="30">
        <v>2.5833333333333335</v>
      </c>
      <c r="C34" t="e">
        <v>#NUM!</v>
      </c>
      <c r="D34" t="e">
        <v>#NUM!</v>
      </c>
      <c r="E34" t="e">
        <v>#NUM!</v>
      </c>
      <c r="F34" t="e">
        <v>#NUM!</v>
      </c>
      <c r="G34" t="e">
        <v>#NUM!</v>
      </c>
      <c r="H34">
        <v>3.1123532336527266</v>
      </c>
      <c r="I34">
        <v>2.8084571024206633</v>
      </c>
      <c r="J34">
        <v>2.7147656227825152</v>
      </c>
      <c r="K34">
        <v>2.6706493017140733</v>
      </c>
      <c r="P34">
        <v>33</v>
      </c>
      <c r="Q34" s="25">
        <f t="shared" si="2"/>
        <v>2.75</v>
      </c>
      <c r="R34">
        <f t="shared" si="0"/>
        <v>0.47611906091179634</v>
      </c>
      <c r="S34">
        <f t="shared" si="3"/>
        <v>27.293449351631637</v>
      </c>
      <c r="T34">
        <f t="shared" si="1"/>
        <v>2.8567143654707783</v>
      </c>
    </row>
    <row r="35" spans="1:20" x14ac:dyDescent="0.25">
      <c r="A35" s="29">
        <v>32</v>
      </c>
      <c r="B35" s="30">
        <v>2.6666666666666665</v>
      </c>
      <c r="C35" t="e">
        <v>#NUM!</v>
      </c>
      <c r="D35" t="e">
        <v>#NUM!</v>
      </c>
      <c r="E35" t="e">
        <v>#NUM!</v>
      </c>
      <c r="F35" t="e">
        <v>#NUM!</v>
      </c>
      <c r="G35" t="e">
        <v>#NUM!</v>
      </c>
      <c r="H35">
        <v>3.2847422314034391</v>
      </c>
      <c r="I35">
        <v>2.9189106249078649</v>
      </c>
      <c r="J35">
        <v>2.8126812227192786</v>
      </c>
      <c r="K35">
        <v>2.7633239500879343</v>
      </c>
      <c r="P35">
        <v>34</v>
      </c>
      <c r="Q35" s="25">
        <f t="shared" si="2"/>
        <v>2.8333333333333335</v>
      </c>
      <c r="R35">
        <f t="shared" si="0"/>
        <v>0.49181009456544456</v>
      </c>
      <c r="S35">
        <f t="shared" si="3"/>
        <v>28.192935357254783</v>
      </c>
      <c r="T35">
        <f t="shared" si="1"/>
        <v>2.9508605673926676</v>
      </c>
    </row>
    <row r="36" spans="1:20" x14ac:dyDescent="0.25">
      <c r="A36" s="29">
        <v>33</v>
      </c>
      <c r="B36" s="30">
        <v>2.75</v>
      </c>
      <c r="C36" t="e">
        <v>#NUM!</v>
      </c>
      <c r="D36" t="e">
        <v>#NUM!</v>
      </c>
      <c r="E36" t="e">
        <v>#NUM!</v>
      </c>
      <c r="F36" t="e">
        <v>#NUM!</v>
      </c>
      <c r="G36" t="e">
        <v>#NUM!</v>
      </c>
      <c r="H36">
        <v>3.4789753934176453</v>
      </c>
      <c r="I36">
        <v>3.032163061704944</v>
      </c>
      <c r="J36">
        <v>2.9118211893437174</v>
      </c>
      <c r="K36">
        <v>2.8567143654707783</v>
      </c>
      <c r="P36">
        <v>35</v>
      </c>
      <c r="Q36" s="25">
        <f t="shared" si="2"/>
        <v>2.9166666666666665</v>
      </c>
      <c r="R36">
        <f t="shared" si="0"/>
        <v>0.50763416272337958</v>
      </c>
      <c r="S36">
        <f t="shared" si="3"/>
        <v>29.10004754465233</v>
      </c>
      <c r="T36">
        <f t="shared" si="1"/>
        <v>3.0458049763402775</v>
      </c>
    </row>
    <row r="37" spans="1:20" x14ac:dyDescent="0.25">
      <c r="A37" s="29">
        <v>34</v>
      </c>
      <c r="B37" s="30">
        <v>2.8333333333333335</v>
      </c>
      <c r="C37" t="e">
        <v>#NUM!</v>
      </c>
      <c r="D37" t="e">
        <v>#NUM!</v>
      </c>
      <c r="E37" t="e">
        <v>#NUM!</v>
      </c>
      <c r="F37" t="e">
        <v>#NUM!</v>
      </c>
      <c r="G37" t="e">
        <v>#NUM!</v>
      </c>
      <c r="H37">
        <v>3.7077005050665548</v>
      </c>
      <c r="I37">
        <v>3.148537111988396</v>
      </c>
      <c r="J37">
        <v>3.0122731669249525</v>
      </c>
      <c r="K37">
        <v>2.9508605673926676</v>
      </c>
      <c r="P37">
        <v>36</v>
      </c>
      <c r="Q37" s="25">
        <f t="shared" si="2"/>
        <v>3</v>
      </c>
      <c r="R37">
        <f t="shared" ref="R37:R68" si="4">ASIN(Q37/$P$1)</f>
        <v>0.52359877559829893</v>
      </c>
      <c r="S37">
        <f t="shared" si="3"/>
        <v>30.015216435571276</v>
      </c>
      <c r="T37">
        <f t="shared" ref="T37:T68" si="5">2*3.14*$P$1*(S37/360)</f>
        <v>3.1415926535897936</v>
      </c>
    </row>
    <row r="38" spans="1:20" x14ac:dyDescent="0.25">
      <c r="A38" s="29">
        <v>35</v>
      </c>
      <c r="B38" s="30">
        <v>2.9166666666666665</v>
      </c>
      <c r="C38" t="e">
        <v>#NUM!</v>
      </c>
      <c r="D38" t="e">
        <v>#NUM!</v>
      </c>
      <c r="E38" t="e">
        <v>#NUM!</v>
      </c>
      <c r="F38" t="e">
        <v>#NUM!</v>
      </c>
      <c r="G38" t="e">
        <v>#NUM!</v>
      </c>
      <c r="H38">
        <v>4.0036350624303783</v>
      </c>
      <c r="I38" s="28">
        <v>3.2684137366967096</v>
      </c>
      <c r="J38">
        <v>3.1141329270600138</v>
      </c>
      <c r="K38">
        <v>3.0458049763402775</v>
      </c>
      <c r="P38">
        <v>37</v>
      </c>
      <c r="Q38" s="25">
        <f t="shared" si="2"/>
        <v>3.0833333333333335</v>
      </c>
      <c r="R38">
        <f t="shared" si="4"/>
        <v>0.53971192849020599</v>
      </c>
      <c r="S38">
        <f t="shared" si="3"/>
        <v>30.93890035931117</v>
      </c>
      <c r="T38">
        <f t="shared" si="5"/>
        <v>3.2382715709412357</v>
      </c>
    </row>
    <row r="39" spans="1:20" x14ac:dyDescent="0.25">
      <c r="A39" s="29">
        <v>36</v>
      </c>
      <c r="B39" s="30">
        <v>3</v>
      </c>
      <c r="C39" t="e">
        <v>#NUM!</v>
      </c>
      <c r="D39" t="e">
        <v>#NUM!</v>
      </c>
      <c r="E39" t="e">
        <v>#NUM!</v>
      </c>
      <c r="F39" t="e">
        <v>#NUM!</v>
      </c>
      <c r="G39" t="e">
        <v>#NUM!</v>
      </c>
      <c r="H39">
        <v>4.7123889803846897</v>
      </c>
      <c r="I39">
        <v>3.392248315925924</v>
      </c>
      <c r="J39">
        <v>3.2175055439664217</v>
      </c>
      <c r="K39">
        <v>3.1415926535897936</v>
      </c>
      <c r="P39">
        <v>38</v>
      </c>
      <c r="Q39" s="25">
        <f t="shared" si="2"/>
        <v>3.1666666666666665</v>
      </c>
      <c r="R39">
        <f t="shared" si="4"/>
        <v>0.55598215252054228</v>
      </c>
      <c r="S39">
        <f t="shared" si="3"/>
        <v>31.871588361050193</v>
      </c>
      <c r="T39">
        <f t="shared" si="5"/>
        <v>3.3358929151232539</v>
      </c>
    </row>
    <row r="40" spans="1:20" x14ac:dyDescent="0.25">
      <c r="A40" s="29">
        <v>37</v>
      </c>
      <c r="B40" s="30">
        <v>3.0833333333333335</v>
      </c>
      <c r="C40" t="e">
        <v>#NUM!</v>
      </c>
      <c r="D40" t="e">
        <v>#NUM!</v>
      </c>
      <c r="E40" t="e">
        <v>#NUM!</v>
      </c>
      <c r="F40" t="e">
        <v>#NUM!</v>
      </c>
      <c r="G40" t="e">
        <v>#NUM!</v>
      </c>
      <c r="H40" t="e">
        <v>#NUM!</v>
      </c>
      <c r="I40">
        <v>3.5205930329478967</v>
      </c>
      <c r="J40">
        <v>3.3225067925143095</v>
      </c>
      <c r="K40">
        <v>3.2382715709412357</v>
      </c>
      <c r="P40">
        <v>39</v>
      </c>
      <c r="Q40" s="25">
        <f t="shared" si="2"/>
        <v>3.25</v>
      </c>
      <c r="R40">
        <f t="shared" si="4"/>
        <v>0.57241857209282021</v>
      </c>
      <c r="S40">
        <f t="shared" si="3"/>
        <v>32.813803495766763</v>
      </c>
      <c r="T40">
        <f t="shared" si="5"/>
        <v>3.434511432556921</v>
      </c>
    </row>
    <row r="41" spans="1:20" x14ac:dyDescent="0.25">
      <c r="A41" s="29">
        <v>38</v>
      </c>
      <c r="B41" s="30">
        <v>3.1666666666666665</v>
      </c>
      <c r="C41" t="e">
        <v>#NUM!</v>
      </c>
      <c r="D41" t="e">
        <v>#NUM!</v>
      </c>
      <c r="E41" t="e">
        <v>#NUM!</v>
      </c>
      <c r="F41" t="e">
        <v>#NUM!</v>
      </c>
      <c r="G41" t="e">
        <v>#NUM!</v>
      </c>
      <c r="H41" t="e">
        <v>#NUM!</v>
      </c>
      <c r="I41" s="28">
        <v>3.6541286941975213</v>
      </c>
      <c r="J41">
        <v>3.4292648230935536</v>
      </c>
      <c r="K41">
        <v>3.3358929151232539</v>
      </c>
      <c r="P41">
        <v>40</v>
      </c>
      <c r="Q41" s="25">
        <f t="shared" si="2"/>
        <v>3.3333333333333335</v>
      </c>
      <c r="R41">
        <f t="shared" si="4"/>
        <v>0.58903097021627382</v>
      </c>
      <c r="S41">
        <f t="shared" si="3"/>
        <v>33.766106572907411</v>
      </c>
      <c r="T41">
        <f t="shared" si="5"/>
        <v>3.5341858212976422</v>
      </c>
    </row>
    <row r="42" spans="1:20" x14ac:dyDescent="0.25">
      <c r="A42" s="29">
        <v>39</v>
      </c>
      <c r="B42" s="30">
        <v>3.25</v>
      </c>
      <c r="C42" t="e">
        <v>#NUM!</v>
      </c>
      <c r="D42" t="e">
        <v>#NUM!</v>
      </c>
      <c r="E42" t="e">
        <v>#NUM!</v>
      </c>
      <c r="F42" t="e">
        <v>#NUM!</v>
      </c>
      <c r="G42" t="e">
        <v>#NUM!</v>
      </c>
      <c r="H42" t="e">
        <v>#NUM!</v>
      </c>
      <c r="I42">
        <v>3.7937113529595035</v>
      </c>
      <c r="J42">
        <v>3.5379221836267774</v>
      </c>
      <c r="K42">
        <v>3.434511432556921</v>
      </c>
      <c r="P42">
        <v>41</v>
      </c>
      <c r="Q42" s="25">
        <f t="shared" si="2"/>
        <v>3.4166666666666665</v>
      </c>
      <c r="R42">
        <f t="shared" si="4"/>
        <v>0.60582986306211217</v>
      </c>
      <c r="S42">
        <f t="shared" si="3"/>
        <v>34.729100430312158</v>
      </c>
      <c r="T42">
        <f t="shared" si="5"/>
        <v>3.6349791783726726</v>
      </c>
    </row>
    <row r="43" spans="1:20" x14ac:dyDescent="0.25">
      <c r="A43" s="29">
        <v>40</v>
      </c>
      <c r="B43" s="30">
        <v>3.3333333333333335</v>
      </c>
      <c r="C43" t="e">
        <v>#NUM!</v>
      </c>
      <c r="D43" t="e">
        <v>#NUM!</v>
      </c>
      <c r="E43" t="e">
        <v>#NUM!</v>
      </c>
      <c r="F43" t="e">
        <v>#NUM!</v>
      </c>
      <c r="G43" t="e">
        <v>#NUM!</v>
      </c>
      <c r="H43" t="e">
        <v>#NUM!</v>
      </c>
      <c r="I43">
        <v>3.9404431333509824</v>
      </c>
      <c r="J43">
        <v>3.6486382811348324</v>
      </c>
      <c r="K43">
        <v>3.5341858212976422</v>
      </c>
      <c r="P43">
        <v>42</v>
      </c>
      <c r="Q43" s="25">
        <f t="shared" si="2"/>
        <v>3.5</v>
      </c>
      <c r="R43">
        <f t="shared" si="4"/>
        <v>0.62282658541200298</v>
      </c>
      <c r="S43">
        <f t="shared" si="3"/>
        <v>35.703434832535201</v>
      </c>
      <c r="T43">
        <f t="shared" si="5"/>
        <v>3.7369595124720179</v>
      </c>
    </row>
    <row r="44" spans="1:20" x14ac:dyDescent="0.25">
      <c r="A44" s="29">
        <v>41</v>
      </c>
      <c r="B44" s="30">
        <v>3.4166666666666665</v>
      </c>
      <c r="C44" t="e">
        <v>#NUM!</v>
      </c>
      <c r="D44" t="e">
        <v>#NUM!</v>
      </c>
      <c r="E44" t="e">
        <v>#NUM!</v>
      </c>
      <c r="F44" t="e">
        <v>#NUM!</v>
      </c>
      <c r="G44" t="e">
        <v>#NUM!</v>
      </c>
      <c r="H44" t="e">
        <v>#NUM!</v>
      </c>
      <c r="I44" s="28">
        <v>4.0957846313529078</v>
      </c>
      <c r="J44">
        <v>3.7615924057769301</v>
      </c>
      <c r="K44">
        <v>3.6349791783726726</v>
      </c>
      <c r="P44">
        <v>43</v>
      </c>
      <c r="Q44" s="25">
        <f t="shared" si="2"/>
        <v>3.5833333333333335</v>
      </c>
      <c r="R44">
        <f t="shared" si="4"/>
        <v>0.64003338902176787</v>
      </c>
      <c r="S44">
        <f t="shared" si="3"/>
        <v>36.689812109528091</v>
      </c>
      <c r="T44">
        <f t="shared" si="5"/>
        <v>3.8402003341306066</v>
      </c>
    </row>
    <row r="45" spans="1:20" x14ac:dyDescent="0.25">
      <c r="A45" s="29">
        <v>42</v>
      </c>
      <c r="B45" s="30">
        <v>3.5</v>
      </c>
      <c r="C45" t="e">
        <v>#NUM!</v>
      </c>
      <c r="D45" t="e">
        <v>#NUM!</v>
      </c>
      <c r="E45" t="e">
        <v>#NUM!</v>
      </c>
      <c r="F45" t="e">
        <v>#NUM!</v>
      </c>
      <c r="G45" t="e">
        <v>#NUM!</v>
      </c>
      <c r="H45" t="e">
        <v>#NUM!</v>
      </c>
      <c r="I45">
        <v>4.2617432660429575</v>
      </c>
      <c r="J45">
        <v>3.8769874830537647</v>
      </c>
      <c r="K45">
        <v>3.7369595124720179</v>
      </c>
      <c r="P45">
        <v>44</v>
      </c>
      <c r="Q45" s="25">
        <f t="shared" si="2"/>
        <v>3.6666666666666665</v>
      </c>
      <c r="R45">
        <f t="shared" si="4"/>
        <v>0.65746355638164367</v>
      </c>
      <c r="S45">
        <f t="shared" si="3"/>
        <v>37.688993677928615</v>
      </c>
      <c r="T45">
        <f t="shared" si="5"/>
        <v>3.9447813382898618</v>
      </c>
    </row>
    <row r="46" spans="1:20" x14ac:dyDescent="0.25">
      <c r="A46" s="29">
        <v>43</v>
      </c>
      <c r="B46" s="30">
        <v>3.5833333333333335</v>
      </c>
      <c r="C46" t="e">
        <v>#NUM!</v>
      </c>
      <c r="D46" t="e">
        <v>#NUM!</v>
      </c>
      <c r="E46" t="e">
        <v>#NUM!</v>
      </c>
      <c r="F46" t="e">
        <v>#NUM!</v>
      </c>
      <c r="G46" t="e">
        <v>#NUM!</v>
      </c>
      <c r="H46" t="e">
        <v>#NUM!</v>
      </c>
      <c r="I46">
        <v>4.4412116069433489</v>
      </c>
      <c r="J46">
        <v>3.995054780768247</v>
      </c>
      <c r="K46">
        <v>3.8402003341306066</v>
      </c>
      <c r="P46">
        <v>45</v>
      </c>
      <c r="Q46" s="25">
        <f t="shared" si="2"/>
        <v>3.75</v>
      </c>
      <c r="R46">
        <f t="shared" si="4"/>
        <v>0.67513153293703165</v>
      </c>
      <c r="S46">
        <f t="shared" si="3"/>
        <v>38.701807620594167</v>
      </c>
      <c r="T46">
        <f t="shared" si="5"/>
        <v>4.0507891976221897</v>
      </c>
    </row>
    <row r="47" spans="1:20" x14ac:dyDescent="0.25">
      <c r="A47" s="29">
        <v>44</v>
      </c>
      <c r="B47" s="30">
        <v>3.6666666666666665</v>
      </c>
      <c r="C47" t="e">
        <v>#NUM!</v>
      </c>
      <c r="D47" t="e">
        <v>#NUM!</v>
      </c>
      <c r="E47" t="e">
        <v>#NUM!</v>
      </c>
      <c r="F47" t="e">
        <v>#NUM!</v>
      </c>
      <c r="G47" t="e">
        <v>#NUM!</v>
      </c>
      <c r="H47" t="e">
        <v>#NUM!</v>
      </c>
      <c r="I47" s="28">
        <v>4.638633857890194</v>
      </c>
      <c r="J47">
        <v>4.1160598856293786</v>
      </c>
      <c r="K47">
        <v>3.9447813382898618</v>
      </c>
      <c r="P47">
        <v>46</v>
      </c>
      <c r="Q47" s="25">
        <f t="shared" si="2"/>
        <v>3.8333333333333335</v>
      </c>
      <c r="R47">
        <f t="shared" si="4"/>
        <v>0.6930530815799727</v>
      </c>
      <c r="S47">
        <f t="shared" si="3"/>
        <v>39.729157542800976</v>
      </c>
      <c r="T47">
        <f t="shared" si="5"/>
        <v>4.1583184894798357</v>
      </c>
    </row>
    <row r="48" spans="1:20" x14ac:dyDescent="0.25">
      <c r="A48" s="29">
        <v>45</v>
      </c>
      <c r="B48" s="30">
        <v>3.75</v>
      </c>
      <c r="C48" t="e">
        <v>#NUM!</v>
      </c>
      <c r="D48" t="e">
        <v>#NUM!</v>
      </c>
      <c r="E48" t="e">
        <v>#NUM!</v>
      </c>
      <c r="F48" t="e">
        <v>#NUM!</v>
      </c>
      <c r="G48" t="e">
        <v>#NUM!</v>
      </c>
      <c r="H48" t="e">
        <v>#NUM!</v>
      </c>
      <c r="I48">
        <v>4.8615005004186926</v>
      </c>
      <c r="J48">
        <v>4.2403103949074055</v>
      </c>
      <c r="K48">
        <v>4.0507891976221897</v>
      </c>
      <c r="P48">
        <v>47</v>
      </c>
      <c r="Q48" s="25">
        <f t="shared" si="2"/>
        <v>3.9166666666666665</v>
      </c>
      <c r="R48">
        <f t="shared" si="4"/>
        <v>0.71124546418584123</v>
      </c>
      <c r="S48">
        <f t="shared" si="3"/>
        <v>40.77203297880618</v>
      </c>
      <c r="T48">
        <f t="shared" si="5"/>
        <v>4.2674727851150465</v>
      </c>
    </row>
    <row r="49" spans="1:20" x14ac:dyDescent="0.25">
      <c r="A49" s="29">
        <v>46</v>
      </c>
      <c r="B49" s="30">
        <v>3.8333333333333335</v>
      </c>
      <c r="C49" t="e">
        <v>#NUM!</v>
      </c>
      <c r="D49" t="e">
        <v>#NUM!</v>
      </c>
      <c r="E49" t="e">
        <v>#NUM!</v>
      </c>
      <c r="F49" t="e">
        <v>#NUM!</v>
      </c>
      <c r="G49" t="e">
        <v>#NUM!</v>
      </c>
      <c r="H49" t="e">
        <v>#NUM!</v>
      </c>
      <c r="I49">
        <v>5.1244373311911087</v>
      </c>
      <c r="J49">
        <v>4.3681659657633229</v>
      </c>
      <c r="K49">
        <v>4.1583184894798357</v>
      </c>
      <c r="P49">
        <v>48</v>
      </c>
      <c r="Q49" s="25">
        <f t="shared" si="2"/>
        <v>4</v>
      </c>
      <c r="R49">
        <f t="shared" si="4"/>
        <v>0.72972765622696634</v>
      </c>
      <c r="S49">
        <f t="shared" si="3"/>
        <v>41.831521694539468</v>
      </c>
      <c r="T49">
        <f t="shared" si="5"/>
        <v>4.3783659373617976</v>
      </c>
    </row>
    <row r="50" spans="1:20" x14ac:dyDescent="0.25">
      <c r="A50" s="29">
        <v>47</v>
      </c>
      <c r="B50" s="30">
        <v>3.9166666666666665</v>
      </c>
      <c r="C50" t="e">
        <v>#NUM!</v>
      </c>
      <c r="D50" t="e">
        <v>#NUM!</v>
      </c>
      <c r="E50" t="e">
        <v>#NUM!</v>
      </c>
      <c r="F50" t="e">
        <v>#NUM!</v>
      </c>
      <c r="G50" t="e">
        <v>#NUM!</v>
      </c>
      <c r="H50" t="e">
        <v>#NUM!</v>
      </c>
      <c r="I50" s="28">
        <v>5.4652645113054463</v>
      </c>
      <c r="J50">
        <v>4.5000516702434386</v>
      </c>
      <c r="K50">
        <v>4.2674727851150465</v>
      </c>
      <c r="P50">
        <v>49</v>
      </c>
      <c r="Q50" s="25">
        <f t="shared" si="2"/>
        <v>4.083333333333333</v>
      </c>
      <c r="R50">
        <f t="shared" si="4"/>
        <v>0.74852060215020111</v>
      </c>
      <c r="S50">
        <f t="shared" si="3"/>
        <v>42.908824327081589</v>
      </c>
      <c r="T50">
        <f t="shared" si="5"/>
        <v>4.4911236129012062</v>
      </c>
    </row>
    <row r="51" spans="1:20" x14ac:dyDescent="0.25">
      <c r="A51" s="29">
        <v>48</v>
      </c>
      <c r="B51" s="30">
        <v>4</v>
      </c>
      <c r="C51" t="e">
        <v>#NUM!</v>
      </c>
      <c r="D51" t="e">
        <v>#NUM!</v>
      </c>
      <c r="E51" t="e">
        <v>#NUM!</v>
      </c>
      <c r="F51" t="e">
        <v>#NUM!</v>
      </c>
      <c r="G51" t="e">
        <v>#NUM!</v>
      </c>
      <c r="H51" t="e">
        <v>#NUM!</v>
      </c>
      <c r="I51">
        <v>6.2831853071795862</v>
      </c>
      <c r="J51">
        <v>4.6364760900080615</v>
      </c>
      <c r="K51">
        <v>4.3783659373617976</v>
      </c>
      <c r="P51">
        <v>50</v>
      </c>
      <c r="Q51" s="25">
        <f t="shared" si="2"/>
        <v>4.166666666666667</v>
      </c>
      <c r="R51">
        <f t="shared" si="4"/>
        <v>0.76764752140803105</v>
      </c>
      <c r="S51">
        <f t="shared" si="3"/>
        <v>44.005271927848909</v>
      </c>
      <c r="T51">
        <f t="shared" si="5"/>
        <v>4.6058851284481861</v>
      </c>
    </row>
    <row r="52" spans="1:20" x14ac:dyDescent="0.25">
      <c r="A52" s="29">
        <v>49</v>
      </c>
      <c r="B52" s="30">
        <v>4.083333333333333</v>
      </c>
      <c r="C52" t="e">
        <v>#NUM!</v>
      </c>
      <c r="D52" t="e">
        <v>#NUM!</v>
      </c>
      <c r="E52" t="e">
        <v>#NUM!</v>
      </c>
      <c r="F52" t="e">
        <v>#NUM!</v>
      </c>
      <c r="G52" t="e">
        <v>#NUM!</v>
      </c>
      <c r="H52" t="e">
        <v>#NUM!</v>
      </c>
      <c r="I52" t="e">
        <v>#NUM!</v>
      </c>
      <c r="J52">
        <v>4.7780563833192797</v>
      </c>
      <c r="K52">
        <v>4.4911236129012062</v>
      </c>
      <c r="P52">
        <v>51</v>
      </c>
      <c r="Q52" s="25">
        <f t="shared" si="2"/>
        <v>4.25</v>
      </c>
      <c r="R52">
        <f t="shared" si="4"/>
        <v>0.78713427799709901</v>
      </c>
      <c r="S52">
        <f t="shared" si="3"/>
        <v>45.122347146330512</v>
      </c>
      <c r="T52">
        <f t="shared" si="5"/>
        <v>4.7228056679825938</v>
      </c>
    </row>
    <row r="53" spans="1:20" x14ac:dyDescent="0.25">
      <c r="A53" s="29">
        <v>50</v>
      </c>
      <c r="B53" s="30">
        <v>4.166666666666667</v>
      </c>
      <c r="C53" t="e">
        <v>#NUM!</v>
      </c>
      <c r="D53" t="e">
        <v>#NUM!</v>
      </c>
      <c r="E53" t="e">
        <v>#NUM!</v>
      </c>
      <c r="F53" t="e">
        <v>#NUM!</v>
      </c>
      <c r="G53" t="e">
        <v>#NUM!</v>
      </c>
      <c r="H53" t="e">
        <v>#NUM!</v>
      </c>
      <c r="I53" t="e">
        <v>#NUM!</v>
      </c>
      <c r="J53">
        <v>4.9255539166887283</v>
      </c>
      <c r="K53">
        <v>4.6058851284481861</v>
      </c>
      <c r="P53">
        <v>52</v>
      </c>
      <c r="Q53" s="25">
        <f t="shared" si="2"/>
        <v>4.333333333333333</v>
      </c>
      <c r="R53">
        <f t="shared" si="4"/>
        <v>0.80700983039706509</v>
      </c>
      <c r="S53">
        <f t="shared" si="3"/>
        <v>46.26171002276169</v>
      </c>
      <c r="T53">
        <f t="shared" si="5"/>
        <v>4.8420589823823903</v>
      </c>
    </row>
    <row r="54" spans="1:20" x14ac:dyDescent="0.25">
      <c r="A54" s="29">
        <v>51</v>
      </c>
      <c r="B54" s="30">
        <v>4.25</v>
      </c>
      <c r="C54" t="e">
        <v>#NUM!</v>
      </c>
      <c r="D54" t="e">
        <v>#NUM!</v>
      </c>
      <c r="E54" t="e">
        <v>#NUM!</v>
      </c>
      <c r="F54" t="e">
        <v>#NUM!</v>
      </c>
      <c r="G54" t="e">
        <v>#NUM!</v>
      </c>
      <c r="H54" t="e">
        <v>#NUM!</v>
      </c>
      <c r="I54" t="e">
        <v>#NUM!</v>
      </c>
      <c r="J54">
        <v>5.0799264690741257</v>
      </c>
      <c r="K54">
        <v>4.7228056679825938</v>
      </c>
      <c r="P54">
        <v>53</v>
      </c>
      <c r="Q54" s="25">
        <f t="shared" si="2"/>
        <v>4.416666666666667</v>
      </c>
      <c r="R54">
        <f t="shared" si="4"/>
        <v>0.82730678438053784</v>
      </c>
      <c r="S54">
        <f t="shared" si="3"/>
        <v>47.425229677865225</v>
      </c>
      <c r="T54">
        <f t="shared" si="5"/>
        <v>4.9638407062832268</v>
      </c>
    </row>
    <row r="55" spans="1:20" x14ac:dyDescent="0.25">
      <c r="A55" s="29">
        <v>52</v>
      </c>
      <c r="B55" s="30">
        <v>4.333333333333333</v>
      </c>
      <c r="C55" t="e">
        <v>#NUM!</v>
      </c>
      <c r="D55" t="e">
        <v>#NUM!</v>
      </c>
      <c r="E55" t="e">
        <v>#NUM!</v>
      </c>
      <c r="F55" t="e">
        <v>#NUM!</v>
      </c>
      <c r="G55" t="e">
        <v>#NUM!</v>
      </c>
      <c r="H55" t="e">
        <v>#NUM!</v>
      </c>
      <c r="I55" t="e">
        <v>#NUM!</v>
      </c>
      <c r="J55">
        <v>5.2424075249442392</v>
      </c>
      <c r="K55">
        <v>4.8420589823823903</v>
      </c>
      <c r="P55">
        <v>54</v>
      </c>
      <c r="Q55" s="25">
        <f t="shared" si="2"/>
        <v>4.5</v>
      </c>
      <c r="R55">
        <f t="shared" si="4"/>
        <v>0.848062078981481</v>
      </c>
      <c r="S55">
        <f t="shared" si="3"/>
        <v>48.615023635881073</v>
      </c>
      <c r="T55">
        <f t="shared" si="5"/>
        <v>5.088372473888886</v>
      </c>
    </row>
    <row r="56" spans="1:20" x14ac:dyDescent="0.25">
      <c r="A56" s="29">
        <v>53</v>
      </c>
      <c r="B56" s="30">
        <v>4.416666666666667</v>
      </c>
      <c r="C56" t="e">
        <v>#NUM!</v>
      </c>
      <c r="D56" t="e">
        <v>#NUM!</v>
      </c>
      <c r="E56" t="e">
        <v>#NUM!</v>
      </c>
      <c r="F56" t="e">
        <v>#NUM!</v>
      </c>
      <c r="G56" t="e">
        <v>#NUM!</v>
      </c>
      <c r="H56" t="e">
        <v>#NUM!</v>
      </c>
      <c r="I56" t="e">
        <v>#NUM!</v>
      </c>
      <c r="J56">
        <v>5.4146321018896062</v>
      </c>
      <c r="K56">
        <v>4.9638407062832268</v>
      </c>
      <c r="P56">
        <v>55</v>
      </c>
      <c r="Q56" s="25">
        <f t="shared" si="2"/>
        <v>4.583333333333333</v>
      </c>
      <c r="R56">
        <f t="shared" si="4"/>
        <v>0.86931784704117432</v>
      </c>
      <c r="S56">
        <f t="shared" si="3"/>
        <v>49.833507155226549</v>
      </c>
      <c r="T56">
        <f t="shared" si="5"/>
        <v>5.2159070822470461</v>
      </c>
    </row>
    <row r="57" spans="1:20" x14ac:dyDescent="0.25">
      <c r="A57" s="29">
        <v>54</v>
      </c>
      <c r="B57" s="30">
        <v>4.5</v>
      </c>
      <c r="C57" t="e">
        <v>#NUM!</v>
      </c>
      <c r="D57" t="e">
        <v>#NUM!</v>
      </c>
      <c r="E57" t="e">
        <v>#NUM!</v>
      </c>
      <c r="F57" t="e">
        <v>#NUM!</v>
      </c>
      <c r="G57" t="e">
        <v>#NUM!</v>
      </c>
      <c r="H57" t="e">
        <v>#NUM!</v>
      </c>
      <c r="I57" t="e">
        <v>#NUM!</v>
      </c>
      <c r="J57">
        <v>5.5988475749931705</v>
      </c>
      <c r="K57">
        <v>5.088372473888886</v>
      </c>
      <c r="P57">
        <v>56</v>
      </c>
      <c r="Q57" s="25">
        <f t="shared" si="2"/>
        <v>4.666666666666667</v>
      </c>
      <c r="R57">
        <f t="shared" si="4"/>
        <v>0.8911225078866527</v>
      </c>
      <c r="S57">
        <f t="shared" si="3"/>
        <v>51.083455866113844</v>
      </c>
      <c r="T57">
        <f t="shared" si="5"/>
        <v>5.3467350473199149</v>
      </c>
    </row>
    <row r="58" spans="1:20" x14ac:dyDescent="0.25">
      <c r="A58" s="29">
        <v>55</v>
      </c>
      <c r="B58" s="30">
        <v>4.583333333333333</v>
      </c>
      <c r="C58" t="e">
        <v>#NUM!</v>
      </c>
      <c r="D58" t="e">
        <v>#NUM!</v>
      </c>
      <c r="E58" t="e">
        <v>#NUM!</v>
      </c>
      <c r="F58" t="e">
        <v>#NUM!</v>
      </c>
      <c r="G58" t="e">
        <v>#NUM!</v>
      </c>
      <c r="H58" t="e">
        <v>#NUM!</v>
      </c>
      <c r="I58" t="e">
        <v>#NUM!</v>
      </c>
      <c r="J58">
        <v>5.7982923223627427</v>
      </c>
      <c r="K58">
        <v>5.2159070822470461</v>
      </c>
      <c r="P58">
        <v>57</v>
      </c>
      <c r="Q58" s="25">
        <f t="shared" si="2"/>
        <v>4.75</v>
      </c>
      <c r="R58">
        <f t="shared" si="4"/>
        <v>0.91353217354938032</v>
      </c>
      <c r="S58">
        <f t="shared" si="3"/>
        <v>52.368086381811608</v>
      </c>
      <c r="T58">
        <f t="shared" si="5"/>
        <v>5.4811930412962822</v>
      </c>
    </row>
    <row r="59" spans="1:20" x14ac:dyDescent="0.25">
      <c r="A59" s="29">
        <v>56</v>
      </c>
      <c r="B59" s="30">
        <v>4.666666666666667</v>
      </c>
      <c r="C59" t="e">
        <v>#NUM!</v>
      </c>
      <c r="D59" t="e">
        <v>#NUM!</v>
      </c>
      <c r="E59" t="e">
        <v>#NUM!</v>
      </c>
      <c r="F59" t="e">
        <v>#NUM!</v>
      </c>
      <c r="G59" t="e">
        <v>#NUM!</v>
      </c>
      <c r="H59" t="e">
        <v>#NUM!</v>
      </c>
      <c r="I59" t="e">
        <v>#NUM!</v>
      </c>
      <c r="J59">
        <v>6.017941531185298</v>
      </c>
      <c r="K59">
        <v>5.3467350473199149</v>
      </c>
      <c r="P59">
        <v>58</v>
      </c>
      <c r="Q59" s="25">
        <f t="shared" si="2"/>
        <v>4.833333333333333</v>
      </c>
      <c r="R59">
        <f t="shared" si="4"/>
        <v>0.93661248597085567</v>
      </c>
      <c r="S59">
        <f t="shared" si="3"/>
        <v>53.691161616163697</v>
      </c>
      <c r="T59">
        <f t="shared" si="5"/>
        <v>5.6196749158251329</v>
      </c>
    </row>
    <row r="60" spans="1:20" x14ac:dyDescent="0.25">
      <c r="A60" s="29">
        <v>57</v>
      </c>
      <c r="B60" s="30">
        <v>4.75</v>
      </c>
      <c r="C60" t="e">
        <v>#NUM!</v>
      </c>
      <c r="D60" t="e">
        <v>#NUM!</v>
      </c>
      <c r="E60" t="e">
        <v>#NUM!</v>
      </c>
      <c r="F60" t="e">
        <v>#NUM!</v>
      </c>
      <c r="G60" t="e">
        <v>#NUM!</v>
      </c>
      <c r="H60" t="e">
        <v>#NUM!</v>
      </c>
      <c r="I60" t="e">
        <v>#NUM!</v>
      </c>
      <c r="J60">
        <v>6.2661794875168741</v>
      </c>
      <c r="K60">
        <v>5.4811930412962822</v>
      </c>
      <c r="P60">
        <v>59</v>
      </c>
      <c r="Q60" s="25">
        <f t="shared" si="2"/>
        <v>4.916666666666667</v>
      </c>
      <c r="R60">
        <f t="shared" si="4"/>
        <v>0.96044105844173033</v>
      </c>
      <c r="S60">
        <f t="shared" si="3"/>
        <v>55.057130738697914</v>
      </c>
      <c r="T60">
        <f t="shared" si="5"/>
        <v>5.7626463506503818</v>
      </c>
    </row>
    <row r="61" spans="1:20" x14ac:dyDescent="0.25">
      <c r="A61" s="29">
        <v>58</v>
      </c>
      <c r="B61" s="30">
        <v>4.833333333333333</v>
      </c>
      <c r="C61" t="e">
        <v>#NUM!</v>
      </c>
      <c r="D61" t="e">
        <v>#NUM!</v>
      </c>
      <c r="E61" t="e">
        <v>#NUM!</v>
      </c>
      <c r="F61" t="e">
        <v>#NUM!</v>
      </c>
      <c r="G61" t="e">
        <v>#NUM!</v>
      </c>
      <c r="H61" t="e">
        <v>#NUM!</v>
      </c>
      <c r="I61" t="e">
        <v>#NUM!</v>
      </c>
      <c r="J61">
        <v>6.559373923943375</v>
      </c>
      <c r="K61">
        <v>5.6196749158251329</v>
      </c>
      <c r="P61">
        <v>60</v>
      </c>
      <c r="Q61" s="25">
        <f t="shared" si="2"/>
        <v>5</v>
      </c>
      <c r="R61">
        <f t="shared" si="4"/>
        <v>0.98511078333774571</v>
      </c>
      <c r="S61">
        <f t="shared" si="3"/>
        <v>56.471318790061851</v>
      </c>
      <c r="T61">
        <f t="shared" si="5"/>
        <v>5.9106647000264729</v>
      </c>
    </row>
    <row r="62" spans="1:20" x14ac:dyDescent="0.25">
      <c r="A62" s="29">
        <v>59</v>
      </c>
      <c r="B62" s="30">
        <v>4.916666666666667</v>
      </c>
      <c r="C62" t="e">
        <v>#NUM!</v>
      </c>
      <c r="D62" t="e">
        <v>#NUM!</v>
      </c>
      <c r="E62" t="e">
        <v>#NUM!</v>
      </c>
      <c r="F62" t="e">
        <v>#NUM!</v>
      </c>
      <c r="G62" t="e">
        <v>#NUM!</v>
      </c>
      <c r="H62" t="e">
        <v>#NUM!</v>
      </c>
      <c r="I62" t="e">
        <v>#NUM!</v>
      </c>
      <c r="J62">
        <v>6.9398380502540107</v>
      </c>
      <c r="K62">
        <v>5.7626463506503818</v>
      </c>
    </row>
    <row r="63" spans="1:20" x14ac:dyDescent="0.25">
      <c r="A63" s="29">
        <v>60</v>
      </c>
      <c r="B63" s="30">
        <v>5</v>
      </c>
      <c r="C63" t="e">
        <v>#NUM!</v>
      </c>
      <c r="D63" t="e">
        <v>#NUM!</v>
      </c>
      <c r="E63" t="e">
        <v>#NUM!</v>
      </c>
      <c r="F63" t="e">
        <v>#NUM!</v>
      </c>
      <c r="G63" t="e">
        <v>#NUM!</v>
      </c>
      <c r="H63" t="e">
        <v>#NUM!</v>
      </c>
      <c r="I63" t="e">
        <v>#NUM!</v>
      </c>
      <c r="J63">
        <v>7.8539816339744828</v>
      </c>
      <c r="K63">
        <v>5.9106647000264729</v>
      </c>
    </row>
    <row r="68" spans="3:9" x14ac:dyDescent="0.25">
      <c r="D68" t="s">
        <v>123</v>
      </c>
    </row>
    <row r="69" spans="3:9" x14ac:dyDescent="0.25">
      <c r="D69" s="26">
        <f>VLOOKUP('Column Width Calc'!B11,RIData!J4:P13,4)</f>
        <v>3.4888888888888893E-2</v>
      </c>
    </row>
    <row r="71" spans="3:9" x14ac:dyDescent="0.25">
      <c r="C71" t="s">
        <v>118</v>
      </c>
      <c r="D71" t="s">
        <v>125</v>
      </c>
      <c r="E71" t="s">
        <v>126</v>
      </c>
      <c r="H71" t="s">
        <v>142</v>
      </c>
      <c r="I71" t="s">
        <v>143</v>
      </c>
    </row>
    <row r="72" spans="3:9" x14ac:dyDescent="0.25">
      <c r="C72">
        <f>INDEX(RIData!$C$27:$P$32,MATCH('Column Width Calc'!B14,RIData!$B$27:$B$32,0),MATCH('Column Width Calc'!B15,RIData!$C$26:$P$26,0))</f>
        <v>22</v>
      </c>
      <c r="D72" s="25">
        <f>(C72/12)/2</f>
        <v>0.91666666666666663</v>
      </c>
      <c r="E72" s="25" cm="1">
        <f t="array" ref="E72">INDEX(CWData!C7:K63,CWData!I72,CWData!H72)</f>
        <v>0.9522381218235928</v>
      </c>
      <c r="H72" s="31">
        <f>MATCH('Column Width Calc'!$B$11,CWData!C6:K6,0)</f>
        <v>4</v>
      </c>
      <c r="I72">
        <f>MATCH(D72,CWData!B7:B63,0)</f>
        <v>8</v>
      </c>
    </row>
    <row r="73" spans="3:9" x14ac:dyDescent="0.25">
      <c r="E73" s="25"/>
    </row>
    <row r="74" spans="3:9" x14ac:dyDescent="0.25">
      <c r="E74" s="25"/>
    </row>
    <row r="75" spans="3:9" x14ac:dyDescent="0.25">
      <c r="E75" s="25"/>
    </row>
    <row r="76" spans="3:9" x14ac:dyDescent="0.25">
      <c r="C76" t="s">
        <v>118</v>
      </c>
      <c r="D76" t="s">
        <v>125</v>
      </c>
      <c r="E76" s="25" t="s">
        <v>128</v>
      </c>
      <c r="F76" t="s">
        <v>127</v>
      </c>
      <c r="H76" t="s">
        <v>142</v>
      </c>
      <c r="I76" t="s">
        <v>143</v>
      </c>
    </row>
    <row r="77" spans="3:9" x14ac:dyDescent="0.25">
      <c r="C77">
        <f>INDEX(RIData!$C$27:$P$32,MATCH('Column Width Calc'!B19,RIData!$B$27:$B$32,0),MATCH('Column Width Calc'!B20,RIData!$C$26:$P$26,0))</f>
        <v>34</v>
      </c>
      <c r="D77" s="25">
        <f>(C77/12)/2</f>
        <v>1.4166666666666667</v>
      </c>
      <c r="E77" s="25" cm="1">
        <f t="array" ref="E77">INDEX(CWData!C7:K63,CWData!I77,CWData!H77)</f>
        <v>1.574268555994198</v>
      </c>
      <c r="F77" s="26"/>
      <c r="H77" s="31">
        <f>MATCH('Column Width Calc'!$B$11,CWData!C6:K6,0)</f>
        <v>4</v>
      </c>
      <c r="I77">
        <f>MATCH(D77,CWData!B7:B63,0)</f>
        <v>14</v>
      </c>
    </row>
    <row r="82" spans="3:4" x14ac:dyDescent="0.25">
      <c r="C82">
        <f>INDEX(RIData!$C$27:$P$32,MATCH('Column Width Calc'!B24,RIData!$B$27:$B$32,0),MATCH('Column Width Calc'!B25,RIData!$C$26:$P$26,0))</f>
        <v>16</v>
      </c>
      <c r="D82">
        <f>(C82/12)/2</f>
        <v>0.66666666666666663</v>
      </c>
    </row>
    <row r="87" spans="3:4" x14ac:dyDescent="0.25">
      <c r="C87">
        <f>INDEX(RIData!$C$27:$P$32,MATCH('Column Width Calc'!B29,RIData!$B$27:$B$32,0),MATCH('Column Width Calc'!B30,RIData!$C$26:$P$26,0))</f>
        <v>16</v>
      </c>
      <c r="D87">
        <f>(C87/12)/2</f>
        <v>0.66666666666666663</v>
      </c>
    </row>
    <row r="90" spans="3:4" x14ac:dyDescent="0.25">
      <c r="C90" t="s">
        <v>124</v>
      </c>
      <c r="D90" s="22">
        <v>0.5</v>
      </c>
    </row>
  </sheetData>
  <mergeCells count="1">
    <mergeCell ref="N1:O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Rim to Invert Calc</vt:lpstr>
      <vt:lpstr>Column Width Calc</vt:lpstr>
      <vt:lpstr>Manhole Dimensions</vt:lpstr>
      <vt:lpstr>RIData</vt:lpstr>
      <vt:lpstr>CWData</vt:lpstr>
      <vt:lpstr>Casting</vt:lpstr>
      <vt:lpstr>Structure</vt:lpstr>
      <vt:lpstr>TestT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 Anderson</dc:creator>
  <cp:lastModifiedBy>Tim Anderson</cp:lastModifiedBy>
  <dcterms:created xsi:type="dcterms:W3CDTF">2024-09-16T20:56:45Z</dcterms:created>
  <dcterms:modified xsi:type="dcterms:W3CDTF">2025-01-29T15:58:32Z</dcterms:modified>
</cp:coreProperties>
</file>